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350" windowWidth="15600" windowHeight="3555" firstSheet="1" activeTab="3"/>
  </bookViews>
  <sheets>
    <sheet name="Лист1" sheetId="1" state="hidden" r:id="rId1"/>
    <sheet name="титул" sheetId="2" r:id="rId2"/>
    <sheet name="2009" sheetId="3" state="hidden" r:id="rId3"/>
    <sheet name="О поступлении денежных средств" sheetId="4" r:id="rId4"/>
    <sheet name="Справка о тарифах" sheetId="5" r:id="rId5"/>
    <sheet name="Работы производимые в 2016 году" sheetId="6" r:id="rId6"/>
    <sheet name="Задолженность нежилого фонда" sheetId="7" r:id="rId7"/>
  </sheets>
  <definedNames/>
  <calcPr fullCalcOnLoad="1" refMode="R1C1"/>
</workbook>
</file>

<file path=xl/comments3.xml><?xml version="1.0" encoding="utf-8"?>
<comments xmlns="http://schemas.openxmlformats.org/spreadsheetml/2006/main">
  <authors>
    <author>Бух</author>
  </authors>
  <commentList>
    <comment ref="R10" authorId="0">
      <text>
        <r>
          <rPr>
            <b/>
            <sz val="8"/>
            <rFont val="Tahoma"/>
            <family val="2"/>
          </rPr>
          <t>Бух:</t>
        </r>
        <r>
          <rPr>
            <sz val="8"/>
            <rFont val="Tahoma"/>
            <family val="2"/>
          </rPr>
          <t xml:space="preserve">
2095*4мес=8380
2280*8мес=18240
Всего:26620</t>
        </r>
      </text>
    </comment>
    <comment ref="R11" authorId="0">
      <text>
        <r>
          <rPr>
            <b/>
            <sz val="8"/>
            <rFont val="Tahoma"/>
            <family val="2"/>
          </rPr>
          <t>Бух:</t>
        </r>
        <r>
          <rPr>
            <sz val="8"/>
            <rFont val="Tahoma"/>
            <family val="2"/>
          </rPr>
          <t xml:space="preserve">
30000 мелк.рем.кровли
31640 ремонт теплоцентра
5000 ящики(мат.3510)
3510
 ВСЕГО: 70150
Ир.Георг. Сказала уменьшить до 28000</t>
        </r>
      </text>
    </comment>
    <comment ref="R14" authorId="0">
      <text>
        <r>
          <rPr>
            <b/>
            <sz val="8"/>
            <rFont val="Tahoma"/>
            <family val="2"/>
          </rPr>
          <t>Бух:</t>
        </r>
        <r>
          <rPr>
            <sz val="8"/>
            <rFont val="Tahoma"/>
            <family val="2"/>
          </rPr>
          <t xml:space="preserve">
2060,39*4мес=8241,56
2208,26*2мес=4416,52
Всего:12658,08</t>
        </r>
      </text>
    </comment>
  </commentList>
</comments>
</file>

<file path=xl/sharedStrings.xml><?xml version="1.0" encoding="utf-8"?>
<sst xmlns="http://schemas.openxmlformats.org/spreadsheetml/2006/main" count="553" uniqueCount="298">
  <si>
    <t>Радио</t>
  </si>
  <si>
    <t>Наименование  услуги</t>
  </si>
  <si>
    <t>Тариф</t>
  </si>
  <si>
    <t>в руб.</t>
  </si>
  <si>
    <t>Вид  начисления</t>
  </si>
  <si>
    <t>(кв.м., чел., кв-ра)</t>
  </si>
  <si>
    <t xml:space="preserve">                      ТАБЛИЦА  СТАВОК  И  УСЛУГ</t>
  </si>
  <si>
    <t>Содержание  придомовой  территории</t>
  </si>
  <si>
    <t>Очистка  мусоропроводов</t>
  </si>
  <si>
    <t>Уборка  лестничных  клеток</t>
  </si>
  <si>
    <t>Содержание  и ремонт ПЗУ</t>
  </si>
  <si>
    <t>с человека</t>
  </si>
  <si>
    <t>горячее водоснабжение</t>
  </si>
  <si>
    <t>Отопление</t>
  </si>
  <si>
    <t>Газ</t>
  </si>
  <si>
    <t>Телетрансляция</t>
  </si>
  <si>
    <t>с общей площади</t>
  </si>
  <si>
    <t>За банковское обслуживание</t>
  </si>
  <si>
    <t>с квартиры</t>
  </si>
  <si>
    <t>На содержание ТСЖ</t>
  </si>
  <si>
    <t>На  капитальный  ремонт  здания</t>
  </si>
  <si>
    <t>Услуги ВЦКП</t>
  </si>
  <si>
    <t>Содержание  общего  имущества</t>
  </si>
  <si>
    <t>многоквартирного  дома</t>
  </si>
  <si>
    <t>Текущий  ремонт общего имущества</t>
  </si>
  <si>
    <t>многоквартирных домов</t>
  </si>
  <si>
    <t>Вывоз  твердых бытовых отходов</t>
  </si>
  <si>
    <t>Техническое обслуживание   и  ремонт лифтов</t>
  </si>
  <si>
    <t>счетчики</t>
  </si>
  <si>
    <t>м3</t>
  </si>
  <si>
    <t xml:space="preserve">№ </t>
  </si>
  <si>
    <t>п/п</t>
  </si>
  <si>
    <t>м2</t>
  </si>
  <si>
    <t xml:space="preserve">Начисляется </t>
  </si>
  <si>
    <t>в месяц</t>
  </si>
  <si>
    <t>с общей площади*</t>
  </si>
  <si>
    <t>Количество квартир</t>
  </si>
  <si>
    <t>Проживает  (чел)</t>
  </si>
  <si>
    <t>Прописано (чел)</t>
  </si>
  <si>
    <t xml:space="preserve">отапливаемая площадь </t>
  </si>
  <si>
    <t>жилые помещ</t>
  </si>
  <si>
    <t>нежилые</t>
  </si>
  <si>
    <t xml:space="preserve">жилые и </t>
  </si>
  <si>
    <t>Холодное  водоснабжение и канализация</t>
  </si>
  <si>
    <t>ООО "УК "Петербургский Дом"</t>
  </si>
  <si>
    <t>Адрес:  С-Петербург, Дунайский пр. д.3.к.2</t>
  </si>
  <si>
    <t>Общая площадь дома  ( этажей)</t>
  </si>
  <si>
    <t>ООО "УК "Петербургский Дом"  ___________________  Васильева И.Х.</t>
  </si>
  <si>
    <t>Наименование ТСЖ  : Пулковский Меридиан</t>
  </si>
  <si>
    <t xml:space="preserve">поставщик </t>
  </si>
  <si>
    <t>услуги</t>
  </si>
  <si>
    <t>Санкт-Петербург,7-я Красноармейская д.18</t>
  </si>
  <si>
    <t>ТСЖ "7-я Красноармейская д.18</t>
  </si>
  <si>
    <t>м2                    2900</t>
  </si>
  <si>
    <t>Нежилые помещения</t>
  </si>
  <si>
    <t xml:space="preserve">                      с  01  сентября 2009 года по 31декабря 2009 года</t>
  </si>
  <si>
    <t>нет</t>
  </si>
  <si>
    <t>Управленческие расходы</t>
  </si>
  <si>
    <t>Общая площадь дома  (этажей)</t>
  </si>
  <si>
    <t xml:space="preserve">Начислено </t>
  </si>
  <si>
    <t>Поставщики</t>
  </si>
  <si>
    <t>№</t>
  </si>
  <si>
    <t>Услуги</t>
  </si>
  <si>
    <t>Разница</t>
  </si>
  <si>
    <t>услуг</t>
  </si>
  <si>
    <t>договора</t>
  </si>
  <si>
    <t>поставщиков</t>
  </si>
  <si>
    <t>по ведом.</t>
  </si>
  <si>
    <t>сентябрь</t>
  </si>
  <si>
    <t>октябрь</t>
  </si>
  <si>
    <t>ноябрь</t>
  </si>
  <si>
    <t>декабрь</t>
  </si>
  <si>
    <t>январь</t>
  </si>
  <si>
    <t>февраль</t>
  </si>
  <si>
    <t>по договорам</t>
  </si>
  <si>
    <t>ВЦКП</t>
  </si>
  <si>
    <t>УК "ПД"</t>
  </si>
  <si>
    <t>ИТОГО:</t>
  </si>
  <si>
    <t>Васильева И.Х.</t>
  </si>
  <si>
    <t>Содержание и ремонт лифтов</t>
  </si>
  <si>
    <t>ПЗУ</t>
  </si>
  <si>
    <t>Управление м\к домом</t>
  </si>
  <si>
    <t>ВСЕГО ао Жилищным услугам</t>
  </si>
  <si>
    <t>Электроснабжение МОП</t>
  </si>
  <si>
    <t>Холодное водоснабжение</t>
  </si>
  <si>
    <t>Канализование холодной воды</t>
  </si>
  <si>
    <t>Канализование горячей воды</t>
  </si>
  <si>
    <t>Горячее водоснабжение</t>
  </si>
  <si>
    <t>за куб.</t>
  </si>
  <si>
    <t>с 01.09.09</t>
  </si>
  <si>
    <t>с 01.01.10</t>
  </si>
  <si>
    <t xml:space="preserve">в 2009г </t>
  </si>
  <si>
    <t>с общей пл.</t>
  </si>
  <si>
    <t xml:space="preserve"> </t>
  </si>
  <si>
    <t>ТСЖ "7-я Рота"  ___________________  Семенова Т.А.</t>
  </si>
  <si>
    <t>Содержание и ремонт сист.газосн.</t>
  </si>
  <si>
    <t>Генеральный директор ООО "УК "Петербургский Дом"</t>
  </si>
  <si>
    <t>в 2010г.</t>
  </si>
  <si>
    <t>ООО"ПетербургГаз"</t>
  </si>
  <si>
    <t>от 01.09.2009</t>
  </si>
  <si>
    <t>от 01.01.2009</t>
  </si>
  <si>
    <t>ООО"ОТИС Лифт"</t>
  </si>
  <si>
    <t>ГУП "Водоканал СПб"</t>
  </si>
  <si>
    <t xml:space="preserve">07-68483/10-ЖК </t>
  </si>
  <si>
    <t>ОАО "ТГК №1"</t>
  </si>
  <si>
    <t>№7922</t>
  </si>
  <si>
    <t>ООО"Петербургрегионгаз"</t>
  </si>
  <si>
    <t>№1.ВД.00744</t>
  </si>
  <si>
    <t>№2166</t>
  </si>
  <si>
    <t xml:space="preserve">Услуги </t>
  </si>
  <si>
    <t>поставщика</t>
  </si>
  <si>
    <t>за период</t>
  </si>
  <si>
    <t>отчета</t>
  </si>
  <si>
    <t>1 парадная</t>
  </si>
  <si>
    <t>в стадии заключения</t>
  </si>
  <si>
    <t>накопленные средства</t>
  </si>
  <si>
    <t>за 1 чел.</t>
  </si>
  <si>
    <t>Проживает</t>
  </si>
  <si>
    <t>11.14/199.86</t>
  </si>
  <si>
    <t>13.15/235.90</t>
  </si>
  <si>
    <t>47.74/217.69</t>
  </si>
  <si>
    <t>55.86/254.72</t>
  </si>
  <si>
    <t>за куб./1 чел</t>
  </si>
  <si>
    <t>планово</t>
  </si>
  <si>
    <t>СМЕТА доходов и расходов с 01.09.09г. по 28.02.2010г.</t>
  </si>
  <si>
    <t>.</t>
  </si>
  <si>
    <t>без февраля</t>
  </si>
  <si>
    <t>ООО"Конфидент-Сервис"</t>
  </si>
  <si>
    <t>Расходы на текущий ремонт</t>
  </si>
  <si>
    <t xml:space="preserve">Очистка кровили </t>
  </si>
  <si>
    <t>Ремонт стояка ЦО парад. №1</t>
  </si>
  <si>
    <t>(по ванным комнатам)</t>
  </si>
  <si>
    <r>
      <t>Электроснабжение МОП</t>
    </r>
    <r>
      <rPr>
        <sz val="10"/>
        <rFont val="Arial Cyr"/>
        <family val="0"/>
      </rPr>
      <t xml:space="preserve"> не начислялось.  ЖКС №1 выставлены счета с опозданием за период с 01.09.2009 по 31.01.2010 на сумму 70375.22</t>
    </r>
  </si>
  <si>
    <t>Счета включают</t>
  </si>
  <si>
    <t>эл.снабжение лифтов</t>
  </si>
  <si>
    <t>эл.снабжение теплоцентра</t>
  </si>
  <si>
    <t>освещение МОП</t>
  </si>
  <si>
    <t>столярная мастерская ЖКС №1</t>
  </si>
  <si>
    <t>подвальное помещение (сауна)</t>
  </si>
  <si>
    <t>спецподвал</t>
  </si>
  <si>
    <t>Нежилой фонд</t>
  </si>
  <si>
    <t>21.64/23.80</t>
  </si>
  <si>
    <t>9746.66/10719.52</t>
  </si>
  <si>
    <t xml:space="preserve">Общая площадь </t>
  </si>
  <si>
    <t>начислено за отчетный период</t>
  </si>
  <si>
    <r>
      <t>Наименование ТСЖ  :</t>
    </r>
    <r>
      <rPr>
        <b/>
        <u val="single"/>
        <sz val="9"/>
        <rFont val="Arial"/>
        <family val="2"/>
      </rPr>
      <t xml:space="preserve"> "7 Рота"</t>
    </r>
  </si>
  <si>
    <r>
      <t>Адрес:</t>
    </r>
    <r>
      <rPr>
        <b/>
        <u val="singleAccounting"/>
        <sz val="9"/>
        <rFont val="Arial"/>
        <family val="2"/>
      </rPr>
      <t xml:space="preserve"> 7 Красноармейская ул.д.18</t>
    </r>
  </si>
  <si>
    <t>ВСЕГО по Жилищным услугам</t>
  </si>
  <si>
    <t>Жилой фонд</t>
  </si>
  <si>
    <t>Эксплуатация коллективных ПУ</t>
  </si>
  <si>
    <t>ООО "Компания АНБС"</t>
  </si>
  <si>
    <t>Поступления</t>
  </si>
  <si>
    <t>ООО "ПетербургГаз"</t>
  </si>
  <si>
    <t>Начисления</t>
  </si>
  <si>
    <t>Задолженность</t>
  </si>
  <si>
    <t>поставщикам</t>
  </si>
  <si>
    <t>руб.</t>
  </si>
  <si>
    <t>отчета, руб.</t>
  </si>
  <si>
    <t>Всего</t>
  </si>
  <si>
    <t>УК "Петербургский дом"</t>
  </si>
  <si>
    <t>Региональный оператор по кап.ремонту</t>
  </si>
  <si>
    <t>ВСЕГО по Коммунальным услугам</t>
  </si>
  <si>
    <t>Общая  полезная площадь дома,  м2</t>
  </si>
  <si>
    <t>№ пп</t>
  </si>
  <si>
    <t>Вид коммунальной услуги</t>
  </si>
  <si>
    <t>Единицы измерения</t>
  </si>
  <si>
    <t>Величина с НДС</t>
  </si>
  <si>
    <t>Распоряжение</t>
  </si>
  <si>
    <t>Комитета</t>
  </si>
  <si>
    <t>по тарифам</t>
  </si>
  <si>
    <t>Санкт-Петербурга</t>
  </si>
  <si>
    <t>Теплоснабжение (отопление)</t>
  </si>
  <si>
    <t>от 19.12.2014 № 596-р</t>
  </si>
  <si>
    <t>с 01.01.2015</t>
  </si>
  <si>
    <t>с 01.07.2015</t>
  </si>
  <si>
    <t>Электроснабжение, за исключением указанного в пункте 3.3</t>
  </si>
  <si>
    <t>от 26.12.2014 № 614-р</t>
  </si>
  <si>
    <t>Одноставочный тариф</t>
  </si>
  <si>
    <t>руб./кВт∙ч</t>
  </si>
  <si>
    <t>Тариф, дифференцированный по двум зонам суток:</t>
  </si>
  <si>
    <t>дневная зона</t>
  </si>
  <si>
    <t>ночная зона</t>
  </si>
  <si>
    <t>Электроснабжение, за исключением указанного в пункте 3.4</t>
  </si>
  <si>
    <t>3.3.</t>
  </si>
  <si>
    <t>Электроснабжение в домах с электроплитами</t>
  </si>
  <si>
    <t>Газоснабжение</t>
  </si>
  <si>
    <t>от 30.12.2014 № 624-р</t>
  </si>
  <si>
    <t>руб./1000 м3</t>
  </si>
  <si>
    <t>5 581,94</t>
  </si>
  <si>
    <t>Водоснабжение, водоотведение</t>
  </si>
  <si>
    <t>от 19.12.2014 № 594-р</t>
  </si>
  <si>
    <t>руб./ м3</t>
  </si>
  <si>
    <t>Цена на уголь</t>
  </si>
  <si>
    <t>от 19.12.2014 № 595-р</t>
  </si>
  <si>
    <t>N</t>
  </si>
  <si>
    <t>Наименование услуги (работы)</t>
  </si>
  <si>
    <t>За 1 кв. м</t>
  </si>
  <si>
    <t>общей</t>
  </si>
  <si>
    <t>площади</t>
  </si>
  <si>
    <t>жилого</t>
  </si>
  <si>
    <t>помещения,</t>
  </si>
  <si>
    <t>комнат в</t>
  </si>
  <si>
    <t>общежитиях,</t>
  </si>
  <si>
    <t>Содержание общего имущества в многоквартирном</t>
  </si>
  <si>
    <t>общего имущества в многоквартирном доме,    </t>
  </si>
  <si>
    <t>утвержденными постановлением Правительства  </t>
  </si>
  <si>
    <t>Российской Федерации от 13.08.2006 N 491,   </t>
  </si>
  <si>
    <t>за исключением услуг и работ по содержанию  </t>
  </si>
  <si>
    <t>предусмотренных пунктами 4 - 10 настоящего  </t>
  </si>
  <si>
    <t>приложения)                                 </t>
  </si>
  <si>
    <t>Текущий ремонт общего имущества в           </t>
  </si>
  <si>
    <t>многоквартирном доме (включает в себя услуги</t>
  </si>
  <si>
    <t>и работы по текущему ремонту общего имущества</t>
  </si>
  <si>
    <t>в многоквартирном доме в соответствии с     </t>
  </si>
  <si>
    <t>Правилами содержания общего имущества в     </t>
  </si>
  <si>
    <t>многоквартирном доме, утвержденными         </t>
  </si>
  <si>
    <t>постановлением Правительства Российской     </t>
  </si>
  <si>
    <t>Федерации от 13.08.2006 N 491, за исключением</t>
  </si>
  <si>
    <t>услуг и работ по текущему ремонту общего    </t>
  </si>
  <si>
    <t>имущества в многоквартирном доме,           </t>
  </si>
  <si>
    <t>предусмотренных пунктами 4, 6 - 10 настоящего</t>
  </si>
  <si>
    <t>приложения) &lt;**&gt;</t>
  </si>
  <si>
    <t>Уборка и санитарно-гигиеническая очистка    </t>
  </si>
  <si>
    <t>земельного участка, входящего в состав общего</t>
  </si>
  <si>
    <t>имущества, содержание и уход за элементами  </t>
  </si>
  <si>
    <t>озеленения, находящимися на земельном       </t>
  </si>
  <si>
    <t>участке, входящем в состав общего имущества,</t>
  </si>
  <si>
    <t>а также иными объектами, расположенными на  </t>
  </si>
  <si>
    <t>земельном участке, предназначенными для     </t>
  </si>
  <si>
    <t>обслуживания, эксплуатации и благоустройства</t>
  </si>
  <si>
    <t>этого многоквартирного дома                 </t>
  </si>
  <si>
    <t>Очистка мусоропроводов (при наличии в составе</t>
  </si>
  <si>
    <t>общего имущества в многоквартирном доме)    </t>
  </si>
  <si>
    <t>Содержание и ремонт переговорно-замочного   </t>
  </si>
  <si>
    <t>устройства (автоматически запирающегося     </t>
  </si>
  <si>
    <t>устройства двери подъезда) (при наличии в   </t>
  </si>
  <si>
    <t>составе общего имущества в многоквартирном  </t>
  </si>
  <si>
    <t>доме)                                       </t>
  </si>
  <si>
    <t>Содержание и ремонт систем автоматизированной</t>
  </si>
  <si>
    <t>противопожарной защиты (при наличии в составе</t>
  </si>
  <si>
    <t>Содержание и текущий ремонт внутридомовых   </t>
  </si>
  <si>
    <t>инженерных систем газоснабжения (при наличии</t>
  </si>
  <si>
    <t>в составе общего имущества в многоквартирном</t>
  </si>
  <si>
    <t>Эксплуатация коллективных (общедомовых)     </t>
  </si>
  <si>
    <t>приборов учета используемых энергетических  </t>
  </si>
  <si>
    <t>ресурсов (при наличии в составе общего      </t>
  </si>
  <si>
    <t>имущества в многоквартирном доме), в т.ч.:  </t>
  </si>
  <si>
    <t>эксплуатация приборов учета электрической   </t>
  </si>
  <si>
    <t>энергии                                     </t>
  </si>
  <si>
    <t>эксплуатация приборов учета тепловой энергии</t>
  </si>
  <si>
    <t>и горячей воды                              </t>
  </si>
  <si>
    <t>эксплуатация приборов учета холодной воды   </t>
  </si>
  <si>
    <t>Общая</t>
  </si>
  <si>
    <t>Тарифы</t>
  </si>
  <si>
    <t>для населения</t>
  </si>
  <si>
    <t>коп./ м.кв.</t>
  </si>
  <si>
    <t>руб./ м.кв.</t>
  </si>
  <si>
    <t>руб.\ед. услуги</t>
  </si>
  <si>
    <t>Холодное водоснабжение, м.куб.</t>
  </si>
  <si>
    <t>Водоотведение, м. куб</t>
  </si>
  <si>
    <t>Электроснабжение МОП, кВт\ч</t>
  </si>
  <si>
    <t>УК "Петербургский дом", ООО "БСТ"</t>
  </si>
  <si>
    <t>Задолженность ООО "Жилкомсервис №1 Адмиралтейского района" за услуги теплоснабжения многоквартирногодома по адресу 7-я Красноармейская ул. 7/16, подключенного через тепловой узел дома, составляет: 1 628 502, 60 рублей.</t>
  </si>
  <si>
    <t>ПЗУ, в данную статью входят затраты на обслуживание домофонов.</t>
  </si>
  <si>
    <t>УК "Петербургский дом", ООО "Мехуборка"</t>
  </si>
  <si>
    <t>Текущий  ремонт общего имущества многоквартирного дома</t>
  </si>
  <si>
    <t>Уборка и санитарная очистка земельного участка</t>
  </si>
  <si>
    <t>Сод.и текущий ремонт систем газоснабжения</t>
  </si>
  <si>
    <t xml:space="preserve">Взнос на капитальный ремонт </t>
  </si>
  <si>
    <t>N пп</t>
  </si>
  <si>
    <t>Справка о тарифах на  Коммунальные услуги</t>
  </si>
  <si>
    <t>Содержание  общего  имущества многоквартирного дома, в т.ч.</t>
  </si>
  <si>
    <t xml:space="preserve"> Итого по всемжилищным услугам</t>
  </si>
  <si>
    <t>с 01.07.2016</t>
  </si>
  <si>
    <t>с 01.01.2016</t>
  </si>
  <si>
    <t>Отчет по смете доходов и расходов за  2016 год</t>
  </si>
  <si>
    <t>СМЕТА доходов и расходов за период январь - декабрь 2016 года</t>
  </si>
  <si>
    <t>Центральное отопление, Гкал.</t>
  </si>
  <si>
    <t>Горячее водоснабжение, м.куб.</t>
  </si>
  <si>
    <t>ООО "Петербург Газ"</t>
  </si>
  <si>
    <t>Газоснабжение индивидуальное</t>
  </si>
  <si>
    <t>За 1 кв. м общей площади жилого помещения, руб. в месяц                 с 01.01.2016</t>
  </si>
  <si>
    <t>За 1 кв. м общей площади жилого помещения, руб. в месяц                с 01.07.2016</t>
  </si>
  <si>
    <t>Адрес: наб.р.Фонтанки   д. 131/36 лит. А</t>
  </si>
  <si>
    <t>Наименование ТСЖ : "Фонтанка 131"</t>
  </si>
  <si>
    <t>Антенна</t>
  </si>
  <si>
    <t>Управление многоквартирным домом</t>
  </si>
  <si>
    <t xml:space="preserve">Наем </t>
  </si>
  <si>
    <t>ГКУ"Жилищное агентство"</t>
  </si>
  <si>
    <t>Сод.и ремонт лифтов</t>
  </si>
  <si>
    <t>ПАО "ТГК-1"</t>
  </si>
  <si>
    <t>ГУП "Водоканал Спб"</t>
  </si>
  <si>
    <t>Петербургская сбытовая компания</t>
  </si>
  <si>
    <t>Нераспределенные ОДН холодное водоснабжение</t>
  </si>
  <si>
    <t>Отчет по смете доходов и расходов за  2016 год (ФОНТАНКИ д.131)</t>
  </si>
  <si>
    <t>Нераспределенные ОДН водоотведение</t>
  </si>
  <si>
    <t>УК "Петербургский дом", ООО ЭКОПРОМ</t>
  </si>
  <si>
    <t>ООО "ОТИС ЛИФТ"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</si>
</sst>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-* #,##0.0_р_._-;\-* #,##0.0_р_._-;_-* &quot;-&quot;??_р_._-;_-@_-"/>
    <numFmt numFmtId="177" formatCode="_-* #,##0_р_._-;\-* #,##0_р_._-;_-* &quot;-&quot;??_р_._-;_-@_-"/>
    <numFmt numFmtId="178" formatCode="#,##0.00_ ;\-#,##0.00\ "/>
    <numFmt numFmtId="179" formatCode="#,##0_ ;\-#,##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419]mmmm\ yyyy;@"/>
  </numFmts>
  <fonts count="71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i/>
      <u val="single"/>
      <sz val="8"/>
      <name val="Arial"/>
      <family val="2"/>
    </font>
    <font>
      <u val="single"/>
      <sz val="9"/>
      <name val="Arial Cyr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sz val="14"/>
      <name val="Arial Cyr"/>
      <family val="0"/>
    </font>
    <font>
      <b/>
      <sz val="14"/>
      <name val="Arial"/>
      <family val="2"/>
    </font>
    <font>
      <b/>
      <u val="single"/>
      <sz val="20"/>
      <name val="Arial"/>
      <family val="2"/>
    </font>
    <font>
      <b/>
      <u val="single"/>
      <sz val="16"/>
      <name val="Arial Cyr"/>
      <family val="0"/>
    </font>
    <font>
      <sz val="12"/>
      <name val="Times New Roman"/>
      <family val="1"/>
    </font>
    <font>
      <sz val="1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Inherit"/>
      <family val="0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Inherit"/>
      <family val="0"/>
    </font>
    <font>
      <sz val="11"/>
      <color theme="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horizontal="right"/>
      <protection/>
    </xf>
    <xf numFmtId="0" fontId="1" fillId="0" borderId="0" xfId="52" applyAlignment="1">
      <alignment horizontal="left"/>
      <protection/>
    </xf>
    <xf numFmtId="0" fontId="1" fillId="0" borderId="10" xfId="52" applyBorder="1">
      <alignment/>
      <protection/>
    </xf>
    <xf numFmtId="0" fontId="1" fillId="0" borderId="11" xfId="52" applyBorder="1">
      <alignment/>
      <protection/>
    </xf>
    <xf numFmtId="0" fontId="1" fillId="0" borderId="12" xfId="52" applyBorder="1" applyAlignment="1">
      <alignment horizontal="center"/>
      <protection/>
    </xf>
    <xf numFmtId="0" fontId="1" fillId="0" borderId="11" xfId="52" applyBorder="1" applyAlignment="1">
      <alignment horizontal="center"/>
      <protection/>
    </xf>
    <xf numFmtId="0" fontId="1" fillId="0" borderId="12" xfId="52" applyBorder="1" applyAlignment="1">
      <alignment horizontal="right"/>
      <protection/>
    </xf>
    <xf numFmtId="0" fontId="1" fillId="0" borderId="11" xfId="52" applyFill="1" applyBorder="1" applyAlignment="1">
      <alignment horizontal="center"/>
      <protection/>
    </xf>
    <xf numFmtId="0" fontId="1" fillId="0" borderId="13" xfId="52" applyBorder="1" applyAlignment="1">
      <alignment horizontal="center"/>
      <protection/>
    </xf>
    <xf numFmtId="0" fontId="1" fillId="0" borderId="14" xfId="52" applyBorder="1">
      <alignment/>
      <protection/>
    </xf>
    <xf numFmtId="0" fontId="1" fillId="0" borderId="0" xfId="52" applyBorder="1">
      <alignment/>
      <protection/>
    </xf>
    <xf numFmtId="0" fontId="1" fillId="0" borderId="15" xfId="52" applyBorder="1" applyAlignment="1">
      <alignment horizontal="center"/>
      <protection/>
    </xf>
    <xf numFmtId="0" fontId="1" fillId="0" borderId="0" xfId="52" applyBorder="1" applyAlignment="1">
      <alignment horizontal="center"/>
      <protection/>
    </xf>
    <xf numFmtId="0" fontId="1" fillId="0" borderId="15" xfId="52" applyBorder="1" applyAlignment="1">
      <alignment horizontal="right"/>
      <protection/>
    </xf>
    <xf numFmtId="0" fontId="1" fillId="0" borderId="16" xfId="52" applyBorder="1" applyAlignment="1">
      <alignment horizontal="center"/>
      <protection/>
    </xf>
    <xf numFmtId="0" fontId="1" fillId="0" borderId="17" xfId="52" applyBorder="1">
      <alignment/>
      <protection/>
    </xf>
    <xf numFmtId="0" fontId="1" fillId="0" borderId="18" xfId="52" applyBorder="1">
      <alignment/>
      <protection/>
    </xf>
    <xf numFmtId="0" fontId="1" fillId="0" borderId="19" xfId="52" applyBorder="1" applyAlignment="1">
      <alignment horizontal="center"/>
      <protection/>
    </xf>
    <xf numFmtId="0" fontId="1" fillId="0" borderId="18" xfId="52" applyBorder="1" applyAlignment="1">
      <alignment horizontal="center"/>
      <protection/>
    </xf>
    <xf numFmtId="0" fontId="1" fillId="0" borderId="19" xfId="52" applyBorder="1" applyAlignment="1">
      <alignment horizontal="right"/>
      <protection/>
    </xf>
    <xf numFmtId="0" fontId="1" fillId="0" borderId="20" xfId="52" applyBorder="1" applyAlignment="1">
      <alignment horizontal="center"/>
      <protection/>
    </xf>
    <xf numFmtId="0" fontId="1" fillId="0" borderId="21" xfId="52" applyBorder="1">
      <alignment/>
      <protection/>
    </xf>
    <xf numFmtId="0" fontId="1" fillId="0" borderId="22" xfId="52" applyBorder="1">
      <alignment/>
      <protection/>
    </xf>
    <xf numFmtId="2" fontId="1" fillId="0" borderId="23" xfId="52" applyNumberFormat="1" applyBorder="1" applyAlignment="1">
      <alignment horizontal="center"/>
      <protection/>
    </xf>
    <xf numFmtId="0" fontId="1" fillId="0" borderId="22" xfId="52" applyBorder="1" applyAlignment="1">
      <alignment horizontal="center"/>
      <protection/>
    </xf>
    <xf numFmtId="4" fontId="1" fillId="0" borderId="23" xfId="52" applyNumberFormat="1" applyBorder="1" applyAlignment="1">
      <alignment horizontal="right"/>
      <protection/>
    </xf>
    <xf numFmtId="0" fontId="1" fillId="0" borderId="24" xfId="52" applyBorder="1" applyAlignment="1">
      <alignment horizontal="center"/>
      <protection/>
    </xf>
    <xf numFmtId="2" fontId="1" fillId="0" borderId="15" xfId="52" applyNumberFormat="1" applyBorder="1" applyAlignment="1">
      <alignment horizontal="center"/>
      <protection/>
    </xf>
    <xf numFmtId="4" fontId="1" fillId="0" borderId="15" xfId="52" applyNumberFormat="1" applyBorder="1" applyAlignment="1">
      <alignment horizontal="right"/>
      <protection/>
    </xf>
    <xf numFmtId="0" fontId="1" fillId="0" borderId="25" xfId="52" applyBorder="1">
      <alignment/>
      <protection/>
    </xf>
    <xf numFmtId="0" fontId="1" fillId="0" borderId="26" xfId="52" applyBorder="1">
      <alignment/>
      <protection/>
    </xf>
    <xf numFmtId="2" fontId="1" fillId="0" borderId="27" xfId="52" applyNumberFormat="1" applyBorder="1" applyAlignment="1">
      <alignment horizontal="center"/>
      <protection/>
    </xf>
    <xf numFmtId="0" fontId="1" fillId="0" borderId="26" xfId="52" applyBorder="1" applyAlignment="1">
      <alignment horizontal="center"/>
      <protection/>
    </xf>
    <xf numFmtId="4" fontId="1" fillId="0" borderId="19" xfId="52" applyNumberFormat="1" applyBorder="1" applyAlignment="1">
      <alignment horizontal="right"/>
      <protection/>
    </xf>
    <xf numFmtId="1" fontId="1" fillId="0" borderId="26" xfId="52" applyNumberFormat="1" applyBorder="1" applyAlignment="1">
      <alignment horizontal="center"/>
      <protection/>
    </xf>
    <xf numFmtId="1" fontId="1" fillId="0" borderId="22" xfId="52" applyNumberFormat="1" applyBorder="1" applyAlignment="1">
      <alignment horizontal="center"/>
      <protection/>
    </xf>
    <xf numFmtId="0" fontId="1" fillId="0" borderId="27" xfId="52" applyBorder="1" applyAlignment="1">
      <alignment horizontal="center"/>
      <protection/>
    </xf>
    <xf numFmtId="0" fontId="1" fillId="0" borderId="28" xfId="52" applyBorder="1">
      <alignment/>
      <protection/>
    </xf>
    <xf numFmtId="0" fontId="1" fillId="0" borderId="29" xfId="52" applyBorder="1">
      <alignment/>
      <protection/>
    </xf>
    <xf numFmtId="0" fontId="1" fillId="0" borderId="30" xfId="52" applyBorder="1" applyAlignment="1">
      <alignment horizontal="center"/>
      <protection/>
    </xf>
    <xf numFmtId="0" fontId="1" fillId="0" borderId="29" xfId="52" applyBorder="1" applyAlignment="1">
      <alignment horizontal="center"/>
      <protection/>
    </xf>
    <xf numFmtId="4" fontId="2" fillId="0" borderId="30" xfId="52" applyNumberFormat="1" applyFont="1" applyBorder="1" applyAlignment="1">
      <alignment horizontal="right"/>
      <protection/>
    </xf>
    <xf numFmtId="0" fontId="1" fillId="0" borderId="31" xfId="52" applyBorder="1" applyAlignment="1">
      <alignment horizontal="center"/>
      <protection/>
    </xf>
    <xf numFmtId="0" fontId="1" fillId="0" borderId="32" xfId="52" applyBorder="1" applyAlignment="1">
      <alignment horizontal="center"/>
      <protection/>
    </xf>
    <xf numFmtId="0" fontId="1" fillId="0" borderId="14" xfId="52" applyFill="1" applyBorder="1">
      <alignment/>
      <protection/>
    </xf>
    <xf numFmtId="0" fontId="1" fillId="0" borderId="0" xfId="52" applyBorder="1" applyAlignment="1">
      <alignment horizontal="right"/>
      <protection/>
    </xf>
    <xf numFmtId="0" fontId="1" fillId="0" borderId="0" xfId="52" applyFont="1">
      <alignment/>
      <protection/>
    </xf>
    <xf numFmtId="2" fontId="1" fillId="0" borderId="27" xfId="52" applyNumberFormat="1" applyFont="1" applyBorder="1" applyAlignment="1">
      <alignment horizontal="center"/>
      <protection/>
    </xf>
    <xf numFmtId="3" fontId="1" fillId="0" borderId="27" xfId="52" applyNumberFormat="1" applyFont="1" applyBorder="1" applyAlignment="1">
      <alignment horizontal="center"/>
      <protection/>
    </xf>
    <xf numFmtId="0" fontId="1" fillId="0" borderId="27" xfId="52" applyFont="1" applyBorder="1" applyAlignment="1">
      <alignment horizontal="center"/>
      <protection/>
    </xf>
    <xf numFmtId="0" fontId="1" fillId="0" borderId="26" xfId="52" applyFont="1" applyBorder="1">
      <alignment/>
      <protection/>
    </xf>
    <xf numFmtId="43" fontId="0" fillId="0" borderId="0" xfId="59" applyFont="1" applyAlignment="1">
      <alignment/>
    </xf>
    <xf numFmtId="43" fontId="5" fillId="0" borderId="0" xfId="59" applyFont="1" applyAlignment="1">
      <alignment/>
    </xf>
    <xf numFmtId="43" fontId="6" fillId="0" borderId="0" xfId="59" applyFont="1" applyAlignment="1">
      <alignment/>
    </xf>
    <xf numFmtId="0" fontId="5" fillId="0" borderId="0" xfId="0" applyFont="1" applyAlignment="1">
      <alignment/>
    </xf>
    <xf numFmtId="43" fontId="7" fillId="0" borderId="0" xfId="59" applyFont="1" applyAlignment="1">
      <alignment/>
    </xf>
    <xf numFmtId="0" fontId="6" fillId="0" borderId="0" xfId="0" applyFont="1" applyAlignment="1">
      <alignment/>
    </xf>
    <xf numFmtId="43" fontId="5" fillId="0" borderId="0" xfId="59" applyFont="1" applyAlignment="1">
      <alignment horizontal="left"/>
    </xf>
    <xf numFmtId="177" fontId="7" fillId="0" borderId="0" xfId="59" applyNumberFormat="1" applyFont="1" applyAlignment="1">
      <alignment horizontal="left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9" fillId="0" borderId="35" xfId="0" applyFont="1" applyBorder="1" applyAlignment="1">
      <alignment/>
    </xf>
    <xf numFmtId="43" fontId="10" fillId="0" borderId="36" xfId="59" applyFont="1" applyBorder="1" applyAlignment="1">
      <alignment/>
    </xf>
    <xf numFmtId="43" fontId="10" fillId="0" borderId="37" xfId="59" applyFont="1" applyBorder="1" applyAlignment="1">
      <alignment/>
    </xf>
    <xf numFmtId="43" fontId="11" fillId="0" borderId="37" xfId="59" applyFont="1" applyBorder="1" applyAlignment="1">
      <alignment/>
    </xf>
    <xf numFmtId="43" fontId="11" fillId="0" borderId="38" xfId="59" applyFont="1" applyBorder="1" applyAlignment="1">
      <alignment/>
    </xf>
    <xf numFmtId="43" fontId="11" fillId="0" borderId="39" xfId="59" applyFont="1" applyBorder="1" applyAlignment="1">
      <alignment/>
    </xf>
    <xf numFmtId="43" fontId="11" fillId="0" borderId="40" xfId="59" applyFont="1" applyBorder="1" applyAlignment="1">
      <alignment/>
    </xf>
    <xf numFmtId="0" fontId="11" fillId="0" borderId="0" xfId="0" applyFont="1" applyAlignment="1">
      <alignment/>
    </xf>
    <xf numFmtId="177" fontId="11" fillId="0" borderId="0" xfId="59" applyNumberFormat="1" applyFont="1" applyAlignment="1">
      <alignment horizontal="left"/>
    </xf>
    <xf numFmtId="43" fontId="11" fillId="0" borderId="0" xfId="59" applyFont="1" applyAlignment="1">
      <alignment horizontal="left"/>
    </xf>
    <xf numFmtId="43" fontId="11" fillId="0" borderId="0" xfId="59" applyFont="1" applyAlignment="1">
      <alignment/>
    </xf>
    <xf numFmtId="177" fontId="10" fillId="0" borderId="0" xfId="59" applyNumberFormat="1" applyFont="1" applyAlignment="1">
      <alignment horizontal="left"/>
    </xf>
    <xf numFmtId="0" fontId="12" fillId="0" borderId="0" xfId="0" applyFont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43" fontId="10" fillId="0" borderId="43" xfId="59" applyFont="1" applyBorder="1" applyAlignment="1">
      <alignment/>
    </xf>
    <xf numFmtId="43" fontId="11" fillId="0" borderId="43" xfId="59" applyFont="1" applyBorder="1" applyAlignment="1">
      <alignment/>
    </xf>
    <xf numFmtId="0" fontId="10" fillId="0" borderId="44" xfId="0" applyFont="1" applyBorder="1" applyAlignment="1">
      <alignment/>
    </xf>
    <xf numFmtId="43" fontId="10" fillId="0" borderId="45" xfId="59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27" xfId="0" applyFont="1" applyBorder="1" applyAlignment="1">
      <alignment/>
    </xf>
    <xf numFmtId="43" fontId="10" fillId="0" borderId="27" xfId="59" applyFont="1" applyBorder="1" applyAlignment="1">
      <alignment/>
    </xf>
    <xf numFmtId="43" fontId="11" fillId="0" borderId="27" xfId="59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7" xfId="0" applyFont="1" applyBorder="1" applyAlignment="1">
      <alignment/>
    </xf>
    <xf numFmtId="43" fontId="10" fillId="0" borderId="48" xfId="59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25" xfId="0" applyFont="1" applyBorder="1" applyAlignment="1">
      <alignment/>
    </xf>
    <xf numFmtId="0" fontId="10" fillId="0" borderId="50" xfId="0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30" xfId="0" applyFont="1" applyBorder="1" applyAlignment="1">
      <alignment/>
    </xf>
    <xf numFmtId="43" fontId="10" fillId="0" borderId="30" xfId="59" applyFont="1" applyBorder="1" applyAlignment="1">
      <alignment/>
    </xf>
    <xf numFmtId="43" fontId="11" fillId="0" borderId="30" xfId="59" applyFont="1" applyBorder="1" applyAlignment="1">
      <alignment/>
    </xf>
    <xf numFmtId="0" fontId="11" fillId="0" borderId="28" xfId="0" applyFont="1" applyBorder="1" applyAlignment="1">
      <alignment/>
    </xf>
    <xf numFmtId="43" fontId="10" fillId="0" borderId="52" xfId="59" applyFont="1" applyBorder="1" applyAlignment="1">
      <alignment/>
    </xf>
    <xf numFmtId="0" fontId="11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1" fillId="0" borderId="23" xfId="0" applyFont="1" applyBorder="1" applyAlignment="1">
      <alignment/>
    </xf>
    <xf numFmtId="43" fontId="11" fillId="0" borderId="23" xfId="59" applyFont="1" applyBorder="1" applyAlignment="1">
      <alignment/>
    </xf>
    <xf numFmtId="43" fontId="10" fillId="0" borderId="23" xfId="59" applyFont="1" applyBorder="1" applyAlignment="1">
      <alignment/>
    </xf>
    <xf numFmtId="0" fontId="11" fillId="0" borderId="21" xfId="0" applyFont="1" applyBorder="1" applyAlignment="1">
      <alignment/>
    </xf>
    <xf numFmtId="43" fontId="11" fillId="0" borderId="24" xfId="59" applyFont="1" applyBorder="1" applyAlignment="1">
      <alignment/>
    </xf>
    <xf numFmtId="0" fontId="10" fillId="0" borderId="55" xfId="0" applyFont="1" applyBorder="1" applyAlignment="1">
      <alignment/>
    </xf>
    <xf numFmtId="43" fontId="8" fillId="0" borderId="27" xfId="59" applyFont="1" applyBorder="1" applyAlignment="1">
      <alignment/>
    </xf>
    <xf numFmtId="43" fontId="11" fillId="0" borderId="48" xfId="59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19" xfId="0" applyFont="1" applyBorder="1" applyAlignment="1">
      <alignment/>
    </xf>
    <xf numFmtId="43" fontId="11" fillId="0" borderId="19" xfId="59" applyFont="1" applyBorder="1" applyAlignment="1">
      <alignment/>
    </xf>
    <xf numFmtId="43" fontId="10" fillId="0" borderId="19" xfId="59" applyFont="1" applyBorder="1" applyAlignment="1">
      <alignment/>
    </xf>
    <xf numFmtId="0" fontId="11" fillId="0" borderId="17" xfId="0" applyFont="1" applyBorder="1" applyAlignment="1">
      <alignment/>
    </xf>
    <xf numFmtId="43" fontId="11" fillId="0" borderId="20" xfId="59" applyFont="1" applyBorder="1" applyAlignment="1">
      <alignment/>
    </xf>
    <xf numFmtId="0" fontId="11" fillId="0" borderId="40" xfId="0" applyFont="1" applyBorder="1" applyAlignment="1">
      <alignment/>
    </xf>
    <xf numFmtId="43" fontId="10" fillId="0" borderId="19" xfId="59" applyFont="1" applyBorder="1" applyAlignment="1">
      <alignment/>
    </xf>
    <xf numFmtId="0" fontId="10" fillId="0" borderId="56" xfId="0" applyFont="1" applyBorder="1" applyAlignment="1">
      <alignment/>
    </xf>
    <xf numFmtId="43" fontId="11" fillId="0" borderId="57" xfId="59" applyFont="1" applyBorder="1" applyAlignment="1">
      <alignment/>
    </xf>
    <xf numFmtId="0" fontId="11" fillId="0" borderId="58" xfId="0" applyFont="1" applyBorder="1" applyAlignment="1">
      <alignment/>
    </xf>
    <xf numFmtId="43" fontId="10" fillId="0" borderId="58" xfId="59" applyFont="1" applyBorder="1" applyAlignment="1">
      <alignment/>
    </xf>
    <xf numFmtId="43" fontId="11" fillId="0" borderId="58" xfId="59" applyFont="1" applyBorder="1" applyAlignment="1">
      <alignment/>
    </xf>
    <xf numFmtId="0" fontId="11" fillId="0" borderId="59" xfId="0" applyFont="1" applyBorder="1" applyAlignment="1">
      <alignment/>
    </xf>
    <xf numFmtId="43" fontId="10" fillId="0" borderId="60" xfId="59" applyFont="1" applyBorder="1" applyAlignment="1">
      <alignment/>
    </xf>
    <xf numFmtId="0" fontId="10" fillId="0" borderId="61" xfId="0" applyFont="1" applyBorder="1" applyAlignment="1">
      <alignment/>
    </xf>
    <xf numFmtId="0" fontId="11" fillId="0" borderId="55" xfId="0" applyFont="1" applyBorder="1" applyAlignment="1">
      <alignment/>
    </xf>
    <xf numFmtId="0" fontId="10" fillId="0" borderId="56" xfId="0" applyFont="1" applyFill="1" applyBorder="1" applyAlignment="1">
      <alignment/>
    </xf>
    <xf numFmtId="0" fontId="10" fillId="0" borderId="58" xfId="0" applyFont="1" applyBorder="1" applyAlignment="1">
      <alignment/>
    </xf>
    <xf numFmtId="0" fontId="10" fillId="0" borderId="59" xfId="0" applyFont="1" applyBorder="1" applyAlignment="1">
      <alignment/>
    </xf>
    <xf numFmtId="43" fontId="11" fillId="0" borderId="60" xfId="59" applyFont="1" applyBorder="1" applyAlignment="1">
      <alignment/>
    </xf>
    <xf numFmtId="0" fontId="13" fillId="0" borderId="0" xfId="0" applyFont="1" applyAlignment="1">
      <alignment/>
    </xf>
    <xf numFmtId="43" fontId="11" fillId="0" borderId="37" xfId="0" applyNumberFormat="1" applyFont="1" applyBorder="1" applyAlignment="1">
      <alignment/>
    </xf>
    <xf numFmtId="43" fontId="11" fillId="0" borderId="39" xfId="0" applyNumberFormat="1" applyFont="1" applyBorder="1" applyAlignment="1">
      <alignment/>
    </xf>
    <xf numFmtId="43" fontId="11" fillId="0" borderId="40" xfId="0" applyNumberFormat="1" applyFont="1" applyBorder="1" applyAlignment="1">
      <alignment/>
    </xf>
    <xf numFmtId="43" fontId="10" fillId="0" borderId="61" xfId="0" applyNumberFormat="1" applyFont="1" applyBorder="1" applyAlignment="1">
      <alignment/>
    </xf>
    <xf numFmtId="0" fontId="8" fillId="0" borderId="42" xfId="0" applyFont="1" applyBorder="1" applyAlignment="1">
      <alignment/>
    </xf>
    <xf numFmtId="43" fontId="11" fillId="0" borderId="36" xfId="59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43" fontId="11" fillId="0" borderId="45" xfId="59" applyFont="1" applyBorder="1" applyAlignment="1">
      <alignment/>
    </xf>
    <xf numFmtId="43" fontId="11" fillId="0" borderId="46" xfId="0" applyNumberFormat="1" applyFont="1" applyBorder="1" applyAlignment="1">
      <alignment/>
    </xf>
    <xf numFmtId="0" fontId="8" fillId="0" borderId="51" xfId="0" applyFont="1" applyBorder="1" applyAlignment="1">
      <alignment/>
    </xf>
    <xf numFmtId="43" fontId="8" fillId="0" borderId="30" xfId="59" applyFont="1" applyBorder="1" applyAlignment="1">
      <alignment/>
    </xf>
    <xf numFmtId="43" fontId="11" fillId="0" borderId="52" xfId="59" applyFont="1" applyBorder="1" applyAlignment="1">
      <alignment/>
    </xf>
    <xf numFmtId="14" fontId="11" fillId="0" borderId="30" xfId="0" applyNumberFormat="1" applyFont="1" applyBorder="1" applyAlignment="1">
      <alignment/>
    </xf>
    <xf numFmtId="0" fontId="14" fillId="0" borderId="0" xfId="0" applyFont="1" applyAlignment="1">
      <alignment/>
    </xf>
    <xf numFmtId="43" fontId="12" fillId="0" borderId="27" xfId="59" applyFont="1" applyBorder="1" applyAlignment="1">
      <alignment/>
    </xf>
    <xf numFmtId="43" fontId="12" fillId="0" borderId="37" xfId="59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55" xfId="0" applyBorder="1" applyAlignment="1">
      <alignment/>
    </xf>
    <xf numFmtId="43" fontId="0" fillId="0" borderId="62" xfId="59" applyFont="1" applyBorder="1" applyAlignment="1">
      <alignment/>
    </xf>
    <xf numFmtId="43" fontId="0" fillId="0" borderId="18" xfId="59" applyFont="1" applyBorder="1" applyAlignment="1">
      <alignment/>
    </xf>
    <xf numFmtId="0" fontId="0" fillId="0" borderId="40" xfId="0" applyBorder="1" applyAlignment="1">
      <alignment/>
    </xf>
    <xf numFmtId="43" fontId="0" fillId="0" borderId="63" xfId="59" applyFont="1" applyBorder="1" applyAlignment="1">
      <alignment/>
    </xf>
    <xf numFmtId="43" fontId="0" fillId="0" borderId="0" xfId="59" applyFont="1" applyBorder="1" applyAlignment="1">
      <alignment/>
    </xf>
    <xf numFmtId="0" fontId="0" fillId="0" borderId="64" xfId="0" applyBorder="1" applyAlignment="1">
      <alignment/>
    </xf>
    <xf numFmtId="43" fontId="0" fillId="0" borderId="54" xfId="59" applyFont="1" applyBorder="1" applyAlignment="1">
      <alignment/>
    </xf>
    <xf numFmtId="43" fontId="0" fillId="0" borderId="22" xfId="59" applyFont="1" applyBorder="1" applyAlignment="1">
      <alignment/>
    </xf>
    <xf numFmtId="0" fontId="0" fillId="0" borderId="39" xfId="0" applyBorder="1" applyAlignment="1">
      <alignment/>
    </xf>
    <xf numFmtId="0" fontId="8" fillId="0" borderId="41" xfId="0" applyFont="1" applyBorder="1" applyAlignment="1">
      <alignment/>
    </xf>
    <xf numFmtId="0" fontId="8" fillId="0" borderId="50" xfId="0" applyFont="1" applyBorder="1" applyAlignment="1">
      <alignment/>
    </xf>
    <xf numFmtId="0" fontId="15" fillId="0" borderId="0" xfId="0" applyFont="1" applyAlignment="1">
      <alignment/>
    </xf>
    <xf numFmtId="43" fontId="16" fillId="0" borderId="0" xfId="59" applyFont="1" applyAlignment="1">
      <alignment/>
    </xf>
    <xf numFmtId="0" fontId="16" fillId="0" borderId="0" xfId="0" applyFont="1" applyAlignment="1">
      <alignment/>
    </xf>
    <xf numFmtId="43" fontId="15" fillId="0" borderId="0" xfId="59" applyFont="1" applyAlignment="1">
      <alignment/>
    </xf>
    <xf numFmtId="43" fontId="20" fillId="0" borderId="0" xfId="59" applyFont="1" applyAlignment="1">
      <alignment/>
    </xf>
    <xf numFmtId="43" fontId="0" fillId="0" borderId="10" xfId="59" applyFont="1" applyBorder="1" applyAlignment="1">
      <alignment/>
    </xf>
    <xf numFmtId="43" fontId="0" fillId="0" borderId="12" xfId="59" applyFont="1" applyBorder="1" applyAlignment="1">
      <alignment/>
    </xf>
    <xf numFmtId="0" fontId="0" fillId="0" borderId="65" xfId="0" applyBorder="1" applyAlignment="1">
      <alignment/>
    </xf>
    <xf numFmtId="43" fontId="0" fillId="0" borderId="66" xfId="59" applyFont="1" applyBorder="1" applyAlignment="1">
      <alignment/>
    </xf>
    <xf numFmtId="43" fontId="0" fillId="0" borderId="67" xfId="59" applyFont="1" applyBorder="1" applyAlignment="1">
      <alignment/>
    </xf>
    <xf numFmtId="43" fontId="0" fillId="0" borderId="68" xfId="59" applyFont="1" applyBorder="1" applyAlignment="1">
      <alignment/>
    </xf>
    <xf numFmtId="0" fontId="0" fillId="0" borderId="69" xfId="0" applyBorder="1" applyAlignment="1">
      <alignment/>
    </xf>
    <xf numFmtId="43" fontId="0" fillId="0" borderId="70" xfId="59" applyFont="1" applyBorder="1" applyAlignment="1">
      <alignment/>
    </xf>
    <xf numFmtId="0" fontId="8" fillId="0" borderId="71" xfId="0" applyFont="1" applyBorder="1" applyAlignment="1">
      <alignment/>
    </xf>
    <xf numFmtId="43" fontId="0" fillId="0" borderId="58" xfId="59" applyFont="1" applyBorder="1" applyAlignment="1">
      <alignment/>
    </xf>
    <xf numFmtId="43" fontId="0" fillId="0" borderId="72" xfId="59" applyFont="1" applyBorder="1" applyAlignment="1">
      <alignment/>
    </xf>
    <xf numFmtId="0" fontId="0" fillId="0" borderId="72" xfId="0" applyBorder="1" applyAlignment="1">
      <alignment/>
    </xf>
    <xf numFmtId="43" fontId="0" fillId="0" borderId="61" xfId="59" applyFont="1" applyBorder="1" applyAlignment="1">
      <alignment/>
    </xf>
    <xf numFmtId="0" fontId="19" fillId="0" borderId="73" xfId="0" applyFont="1" applyBorder="1" applyAlignment="1">
      <alignment/>
    </xf>
    <xf numFmtId="43" fontId="0" fillId="0" borderId="63" xfId="59" applyFont="1" applyBorder="1" applyAlignment="1">
      <alignment/>
    </xf>
    <xf numFmtId="0" fontId="16" fillId="0" borderId="63" xfId="0" applyFont="1" applyBorder="1" applyAlignment="1">
      <alignment/>
    </xf>
    <xf numFmtId="43" fontId="16" fillId="0" borderId="64" xfId="59" applyFont="1" applyBorder="1" applyAlignment="1">
      <alignment/>
    </xf>
    <xf numFmtId="43" fontId="12" fillId="0" borderId="58" xfId="59" applyFont="1" applyBorder="1" applyAlignment="1">
      <alignment/>
    </xf>
    <xf numFmtId="43" fontId="12" fillId="0" borderId="72" xfId="59" applyFont="1" applyBorder="1" applyAlignment="1">
      <alignment/>
    </xf>
    <xf numFmtId="0" fontId="0" fillId="0" borderId="57" xfId="0" applyBorder="1" applyAlignment="1">
      <alignment/>
    </xf>
    <xf numFmtId="43" fontId="0" fillId="0" borderId="60" xfId="59" applyFont="1" applyBorder="1" applyAlignment="1">
      <alignment/>
    </xf>
    <xf numFmtId="43" fontId="5" fillId="0" borderId="0" xfId="59" applyFont="1" applyFill="1" applyAlignment="1">
      <alignment/>
    </xf>
    <xf numFmtId="43" fontId="11" fillId="0" borderId="0" xfId="59" applyFont="1" applyFill="1" applyAlignment="1">
      <alignment/>
    </xf>
    <xf numFmtId="43" fontId="5" fillId="0" borderId="0" xfId="59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43" fontId="11" fillId="0" borderId="0" xfId="59" applyFont="1" applyFill="1" applyAlignment="1">
      <alignment horizontal="left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43" fontId="21" fillId="0" borderId="0" xfId="59" applyFont="1" applyFill="1" applyAlignment="1">
      <alignment/>
    </xf>
    <xf numFmtId="0" fontId="2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21" fillId="0" borderId="0" xfId="59" applyNumberFormat="1" applyFont="1" applyFill="1" applyAlignment="1">
      <alignment horizontal="center"/>
    </xf>
    <xf numFmtId="3" fontId="5" fillId="0" borderId="0" xfId="59" applyNumberFormat="1" applyFont="1" applyFill="1" applyAlignment="1">
      <alignment horizontal="center"/>
    </xf>
    <xf numFmtId="3" fontId="11" fillId="0" borderId="0" xfId="59" applyNumberFormat="1" applyFont="1" applyFill="1" applyAlignment="1">
      <alignment horizontal="center"/>
    </xf>
    <xf numFmtId="3" fontId="0" fillId="0" borderId="0" xfId="59" applyNumberFormat="1" applyFont="1" applyFill="1" applyAlignment="1">
      <alignment horizontal="center"/>
    </xf>
    <xf numFmtId="3" fontId="2" fillId="0" borderId="0" xfId="59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/>
    </xf>
    <xf numFmtId="43" fontId="24" fillId="0" borderId="0" xfId="59" applyFont="1" applyFill="1" applyAlignment="1">
      <alignment/>
    </xf>
    <xf numFmtId="3" fontId="24" fillId="0" borderId="0" xfId="59" applyNumberFormat="1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59" applyNumberFormat="1" applyFont="1" applyFill="1" applyAlignment="1">
      <alignment horizontal="center" vertical="center"/>
    </xf>
    <xf numFmtId="2" fontId="0" fillId="33" borderId="0" xfId="59" applyNumberFormat="1" applyFont="1" applyFill="1" applyAlignment="1">
      <alignment horizontal="center" vertical="center"/>
    </xf>
    <xf numFmtId="2" fontId="0" fillId="0" borderId="0" xfId="59" applyNumberFormat="1" applyFont="1" applyFill="1" applyAlignment="1">
      <alignment horizontal="center"/>
    </xf>
    <xf numFmtId="2" fontId="6" fillId="0" borderId="0" xfId="59" applyNumberFormat="1" applyFont="1" applyFill="1" applyAlignment="1">
      <alignment horizontal="center"/>
    </xf>
    <xf numFmtId="2" fontId="6" fillId="0" borderId="0" xfId="59" applyNumberFormat="1" applyFont="1" applyFill="1" applyAlignment="1">
      <alignment/>
    </xf>
    <xf numFmtId="43" fontId="7" fillId="0" borderId="0" xfId="59" applyFont="1" applyFill="1" applyAlignment="1">
      <alignment horizontal="right"/>
    </xf>
    <xf numFmtId="177" fontId="2" fillId="0" borderId="0" xfId="59" applyNumberFormat="1" applyFont="1" applyFill="1" applyAlignment="1">
      <alignment horizontal="right"/>
    </xf>
    <xf numFmtId="0" fontId="68" fillId="34" borderId="27" xfId="0" applyFont="1" applyFill="1" applyBorder="1" applyAlignment="1">
      <alignment horizontal="left" vertical="center" wrapText="1"/>
    </xf>
    <xf numFmtId="4" fontId="68" fillId="34" borderId="27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0" fontId="68" fillId="34" borderId="55" xfId="0" applyFont="1" applyFill="1" applyBorder="1" applyAlignment="1">
      <alignment horizontal="left" vertical="center" wrapText="1"/>
    </xf>
    <xf numFmtId="0" fontId="0" fillId="34" borderId="27" xfId="0" applyFill="1" applyBorder="1" applyAlignment="1">
      <alignment horizontal="left" vertical="top" wrapText="1"/>
    </xf>
    <xf numFmtId="0" fontId="68" fillId="34" borderId="27" xfId="0" applyFont="1" applyFill="1" applyBorder="1" applyAlignment="1">
      <alignment horizontal="left" vertical="center" wrapText="1"/>
    </xf>
    <xf numFmtId="0" fontId="68" fillId="34" borderId="55" xfId="0" applyFont="1" applyFill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27" fillId="0" borderId="2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center" wrapText="1" indent="8"/>
    </xf>
    <xf numFmtId="0" fontId="29" fillId="0" borderId="0" xfId="0" applyFont="1" applyFill="1" applyAlignment="1">
      <alignment vertical="top"/>
    </xf>
    <xf numFmtId="3" fontId="29" fillId="0" borderId="0" xfId="0" applyNumberFormat="1" applyFont="1" applyFill="1" applyAlignment="1">
      <alignment horizontal="center" vertical="top"/>
    </xf>
    <xf numFmtId="0" fontId="30" fillId="0" borderId="27" xfId="0" applyFont="1" applyFill="1" applyBorder="1" applyAlignment="1">
      <alignment vertical="top"/>
    </xf>
    <xf numFmtId="2" fontId="30" fillId="33" borderId="27" xfId="59" applyNumberFormat="1" applyFont="1" applyFill="1" applyBorder="1" applyAlignment="1">
      <alignment horizontal="center" vertical="top"/>
    </xf>
    <xf numFmtId="2" fontId="30" fillId="0" borderId="27" xfId="59" applyNumberFormat="1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3" fontId="30" fillId="0" borderId="27" xfId="59" applyNumberFormat="1" applyFont="1" applyFill="1" applyBorder="1" applyAlignment="1">
      <alignment horizontal="center" vertical="top"/>
    </xf>
    <xf numFmtId="3" fontId="30" fillId="0" borderId="46" xfId="59" applyNumberFormat="1" applyFont="1" applyFill="1" applyBorder="1" applyAlignment="1">
      <alignment horizontal="center" vertical="top"/>
    </xf>
    <xf numFmtId="0" fontId="29" fillId="0" borderId="27" xfId="0" applyFont="1" applyFill="1" applyBorder="1" applyAlignment="1">
      <alignment vertical="top"/>
    </xf>
    <xf numFmtId="3" fontId="30" fillId="0" borderId="49" xfId="0" applyNumberFormat="1" applyFont="1" applyFill="1" applyBorder="1" applyAlignment="1">
      <alignment horizontal="center" vertical="top"/>
    </xf>
    <xf numFmtId="3" fontId="29" fillId="0" borderId="49" xfId="0" applyNumberFormat="1" applyFont="1" applyFill="1" applyBorder="1" applyAlignment="1">
      <alignment horizontal="center" vertical="top"/>
    </xf>
    <xf numFmtId="2" fontId="29" fillId="0" borderId="27" xfId="59" applyNumberFormat="1" applyFont="1" applyFill="1" applyBorder="1" applyAlignment="1">
      <alignment horizontal="center" vertical="top"/>
    </xf>
    <xf numFmtId="2" fontId="29" fillId="0" borderId="27" xfId="59" applyNumberFormat="1" applyFont="1" applyFill="1" applyBorder="1" applyAlignment="1">
      <alignment vertical="top"/>
    </xf>
    <xf numFmtId="3" fontId="29" fillId="0" borderId="53" xfId="0" applyNumberFormat="1" applyFont="1" applyFill="1" applyBorder="1" applyAlignment="1">
      <alignment horizontal="center" vertical="top"/>
    </xf>
    <xf numFmtId="2" fontId="31" fillId="0" borderId="19" xfId="0" applyNumberFormat="1" applyFont="1" applyFill="1" applyBorder="1" applyAlignment="1">
      <alignment horizontal="center" vertical="top"/>
    </xf>
    <xf numFmtId="2" fontId="29" fillId="0" borderId="19" xfId="59" applyNumberFormat="1" applyFont="1" applyFill="1" applyBorder="1" applyAlignment="1">
      <alignment horizontal="center" vertical="top"/>
    </xf>
    <xf numFmtId="0" fontId="29" fillId="0" borderId="19" xfId="0" applyFont="1" applyFill="1" applyBorder="1" applyAlignment="1">
      <alignment vertical="top" wrapText="1"/>
    </xf>
    <xf numFmtId="3" fontId="29" fillId="0" borderId="19" xfId="59" applyNumberFormat="1" applyFont="1" applyFill="1" applyBorder="1" applyAlignment="1">
      <alignment horizontal="center" vertical="top"/>
    </xf>
    <xf numFmtId="3" fontId="29" fillId="0" borderId="66" xfId="0" applyNumberFormat="1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 wrapText="1"/>
    </xf>
    <xf numFmtId="2" fontId="31" fillId="0" borderId="27" xfId="0" applyNumberFormat="1" applyFont="1" applyFill="1" applyBorder="1" applyAlignment="1">
      <alignment horizontal="center" vertical="top" wrapText="1"/>
    </xf>
    <xf numFmtId="3" fontId="29" fillId="0" borderId="27" xfId="59" applyNumberFormat="1" applyFont="1" applyFill="1" applyBorder="1" applyAlignment="1">
      <alignment horizontal="center" vertical="top"/>
    </xf>
    <xf numFmtId="3" fontId="29" fillId="0" borderId="70" xfId="0" applyNumberFormat="1" applyFont="1" applyFill="1" applyBorder="1" applyAlignment="1">
      <alignment horizontal="center" vertical="top"/>
    </xf>
    <xf numFmtId="0" fontId="30" fillId="0" borderId="19" xfId="0" applyFont="1" applyFill="1" applyBorder="1" applyAlignment="1">
      <alignment horizontal="center" vertical="top"/>
    </xf>
    <xf numFmtId="2" fontId="31" fillId="0" borderId="19" xfId="0" applyNumberFormat="1" applyFont="1" applyFill="1" applyBorder="1" applyAlignment="1">
      <alignment horizontal="center" vertical="top" wrapText="1"/>
    </xf>
    <xf numFmtId="3" fontId="29" fillId="0" borderId="46" xfId="0" applyNumberFormat="1" applyFont="1" applyFill="1" applyBorder="1" applyAlignment="1">
      <alignment horizontal="center" vertical="top"/>
    </xf>
    <xf numFmtId="0" fontId="30" fillId="0" borderId="23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29" fillId="0" borderId="19" xfId="0" applyFont="1" applyFill="1" applyBorder="1" applyAlignment="1">
      <alignment horizontal="center" vertical="top"/>
    </xf>
    <xf numFmtId="2" fontId="31" fillId="35" borderId="27" xfId="0" applyNumberFormat="1" applyFont="1" applyFill="1" applyBorder="1" applyAlignment="1">
      <alignment horizontal="center" vertical="top" wrapText="1"/>
    </xf>
    <xf numFmtId="2" fontId="30" fillId="35" borderId="27" xfId="59" applyNumberFormat="1" applyFont="1" applyFill="1" applyBorder="1" applyAlignment="1">
      <alignment horizontal="center" vertical="top"/>
    </xf>
    <xf numFmtId="0" fontId="29" fillId="35" borderId="27" xfId="0" applyFont="1" applyFill="1" applyBorder="1" applyAlignment="1">
      <alignment vertical="top"/>
    </xf>
    <xf numFmtId="3" fontId="30" fillId="35" borderId="27" xfId="59" applyNumberFormat="1" applyFont="1" applyFill="1" applyBorder="1" applyAlignment="1">
      <alignment horizontal="center" vertical="top"/>
    </xf>
    <xf numFmtId="3" fontId="30" fillId="0" borderId="61" xfId="59" applyNumberFormat="1" applyFont="1" applyFill="1" applyBorder="1" applyAlignment="1">
      <alignment horizontal="center" vertical="top"/>
    </xf>
    <xf numFmtId="0" fontId="29" fillId="0" borderId="0" xfId="0" applyNumberFormat="1" applyFont="1" applyFill="1" applyBorder="1" applyAlignment="1">
      <alignment horizontal="right" vertical="top" wrapText="1"/>
    </xf>
    <xf numFmtId="2" fontId="29" fillId="0" borderId="27" xfId="0" applyNumberFormat="1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left" vertical="top" wrapText="1"/>
    </xf>
    <xf numFmtId="3" fontId="29" fillId="35" borderId="27" xfId="59" applyNumberFormat="1" applyFont="1" applyFill="1" applyBorder="1" applyAlignment="1">
      <alignment horizontal="center" vertical="top"/>
    </xf>
    <xf numFmtId="2" fontId="30" fillId="0" borderId="0" xfId="59" applyNumberFormat="1" applyFont="1" applyFill="1" applyBorder="1" applyAlignment="1">
      <alignment horizontal="center" vertical="top"/>
    </xf>
    <xf numFmtId="2" fontId="29" fillId="0" borderId="0" xfId="59" applyNumberFormat="1" applyFont="1" applyFill="1" applyBorder="1" applyAlignment="1">
      <alignment horizontal="center" vertical="top"/>
    </xf>
    <xf numFmtId="2" fontId="29" fillId="0" borderId="0" xfId="59" applyNumberFormat="1" applyFont="1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3" fontId="30" fillId="0" borderId="0" xfId="59" applyNumberFormat="1" applyFont="1" applyFill="1" applyBorder="1" applyAlignment="1">
      <alignment horizontal="center" vertical="top"/>
    </xf>
    <xf numFmtId="3" fontId="29" fillId="0" borderId="0" xfId="0" applyNumberFormat="1" applyFont="1" applyFill="1" applyBorder="1" applyAlignment="1">
      <alignment horizontal="center" vertical="top"/>
    </xf>
    <xf numFmtId="2" fontId="29" fillId="0" borderId="0" xfId="59" applyNumberFormat="1" applyFont="1" applyFill="1" applyAlignment="1">
      <alignment horizontal="center" vertical="top"/>
    </xf>
    <xf numFmtId="2" fontId="29" fillId="0" borderId="0" xfId="59" applyNumberFormat="1" applyFont="1" applyFill="1" applyAlignment="1">
      <alignment vertical="top"/>
    </xf>
    <xf numFmtId="3" fontId="29" fillId="0" borderId="0" xfId="59" applyNumberFormat="1" applyFont="1" applyFill="1" applyAlignment="1">
      <alignment horizontal="center" vertical="top"/>
    </xf>
    <xf numFmtId="0" fontId="29" fillId="0" borderId="27" xfId="0" applyFont="1" applyFill="1" applyBorder="1" applyAlignment="1">
      <alignment vertical="top" wrapText="1"/>
    </xf>
    <xf numFmtId="0" fontId="30" fillId="35" borderId="27" xfId="0" applyFont="1" applyFill="1" applyBorder="1" applyAlignment="1">
      <alignment vertical="top"/>
    </xf>
    <xf numFmtId="0" fontId="29" fillId="0" borderId="27" xfId="0" applyFont="1" applyFill="1" applyBorder="1" applyAlignment="1">
      <alignment horizontal="left" vertical="top"/>
    </xf>
    <xf numFmtId="0" fontId="29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2" fontId="31" fillId="33" borderId="27" xfId="0" applyNumberFormat="1" applyFont="1" applyFill="1" applyBorder="1" applyAlignment="1">
      <alignment horizontal="center" vertical="top" wrapText="1"/>
    </xf>
    <xf numFmtId="2" fontId="31" fillId="33" borderId="19" xfId="0" applyNumberFormat="1" applyFont="1" applyFill="1" applyBorder="1" applyAlignment="1">
      <alignment horizontal="center" vertical="top"/>
    </xf>
    <xf numFmtId="2" fontId="29" fillId="33" borderId="27" xfId="0" applyNumberFormat="1" applyFont="1" applyFill="1" applyBorder="1" applyAlignment="1">
      <alignment horizontal="center" vertical="top"/>
    </xf>
    <xf numFmtId="0" fontId="29" fillId="33" borderId="27" xfId="0" applyFont="1" applyFill="1" applyBorder="1" applyAlignment="1">
      <alignment horizontal="center" vertical="top" wrapText="1"/>
    </xf>
    <xf numFmtId="2" fontId="29" fillId="33" borderId="27" xfId="0" applyNumberFormat="1" applyFont="1" applyFill="1" applyBorder="1" applyAlignment="1">
      <alignment horizontal="center" vertical="top" wrapText="1"/>
    </xf>
    <xf numFmtId="2" fontId="31" fillId="33" borderId="19" xfId="0" applyNumberFormat="1" applyFont="1" applyFill="1" applyBorder="1" applyAlignment="1">
      <alignment horizontal="center" vertical="top" wrapText="1"/>
    </xf>
    <xf numFmtId="2" fontId="31" fillId="33" borderId="19" xfId="0" applyNumberFormat="1" applyFont="1" applyFill="1" applyBorder="1" applyAlignment="1">
      <alignment horizontal="center" vertical="top" wrapText="1"/>
    </xf>
    <xf numFmtId="2" fontId="31" fillId="33" borderId="19" xfId="0" applyNumberFormat="1" applyFont="1" applyFill="1" applyBorder="1" applyAlignment="1">
      <alignment horizontal="center" vertical="top" wrapText="1"/>
    </xf>
    <xf numFmtId="0" fontId="29" fillId="33" borderId="0" xfId="0" applyFont="1" applyFill="1" applyAlignment="1">
      <alignment horizontal="center" vertical="top"/>
    </xf>
    <xf numFmtId="0" fontId="30" fillId="33" borderId="27" xfId="0" applyFont="1" applyFill="1" applyBorder="1" applyAlignment="1">
      <alignment horizontal="center" vertical="top"/>
    </xf>
    <xf numFmtId="0" fontId="30" fillId="33" borderId="27" xfId="0" applyFont="1" applyFill="1" applyBorder="1" applyAlignment="1">
      <alignment vertical="top"/>
    </xf>
    <xf numFmtId="3" fontId="30" fillId="33" borderId="27" xfId="59" applyNumberFormat="1" applyFont="1" applyFill="1" applyBorder="1" applyAlignment="1">
      <alignment horizontal="center" vertical="top"/>
    </xf>
    <xf numFmtId="0" fontId="29" fillId="33" borderId="27" xfId="0" applyFont="1" applyFill="1" applyBorder="1" applyAlignment="1">
      <alignment vertical="top"/>
    </xf>
    <xf numFmtId="2" fontId="29" fillId="33" borderId="27" xfId="59" applyNumberFormat="1" applyFont="1" applyFill="1" applyBorder="1" applyAlignment="1">
      <alignment horizontal="center" vertical="top"/>
    </xf>
    <xf numFmtId="2" fontId="29" fillId="33" borderId="27" xfId="59" applyNumberFormat="1" applyFont="1" applyFill="1" applyBorder="1" applyAlignment="1">
      <alignment vertical="top"/>
    </xf>
    <xf numFmtId="2" fontId="29" fillId="33" borderId="19" xfId="59" applyNumberFormat="1" applyFont="1" applyFill="1" applyBorder="1" applyAlignment="1">
      <alignment horizontal="center" vertical="top"/>
    </xf>
    <xf numFmtId="0" fontId="29" fillId="33" borderId="19" xfId="0" applyFont="1" applyFill="1" applyBorder="1" applyAlignment="1">
      <alignment vertical="top" wrapText="1"/>
    </xf>
    <xf numFmtId="3" fontId="29" fillId="33" borderId="19" xfId="59" applyNumberFormat="1" applyFont="1" applyFill="1" applyBorder="1" applyAlignment="1">
      <alignment horizontal="center" vertical="top"/>
    </xf>
    <xf numFmtId="0" fontId="30" fillId="33" borderId="19" xfId="0" applyFont="1" applyFill="1" applyBorder="1" applyAlignment="1">
      <alignment horizontal="center" vertical="top"/>
    </xf>
    <xf numFmtId="0" fontId="29" fillId="33" borderId="27" xfId="0" applyFont="1" applyFill="1" applyBorder="1" applyAlignment="1">
      <alignment horizontal="left" vertical="top" wrapText="1"/>
    </xf>
    <xf numFmtId="3" fontId="29" fillId="33" borderId="27" xfId="59" applyNumberFormat="1" applyFont="1" applyFill="1" applyBorder="1" applyAlignment="1">
      <alignment horizontal="center" vertical="top"/>
    </xf>
    <xf numFmtId="0" fontId="29" fillId="33" borderId="19" xfId="0" applyFont="1" applyFill="1" applyBorder="1" applyAlignment="1">
      <alignment horizontal="left" vertical="top" wrapText="1"/>
    </xf>
    <xf numFmtId="0" fontId="29" fillId="33" borderId="27" xfId="0" applyFont="1" applyFill="1" applyBorder="1" applyAlignment="1">
      <alignment vertical="top" wrapText="1"/>
    </xf>
    <xf numFmtId="0" fontId="30" fillId="33" borderId="23" xfId="0" applyFont="1" applyFill="1" applyBorder="1" applyAlignment="1">
      <alignment horizontal="center" vertical="top"/>
    </xf>
    <xf numFmtId="0" fontId="29" fillId="33" borderId="27" xfId="0" applyFont="1" applyFill="1" applyBorder="1" applyAlignment="1">
      <alignment horizontal="left" vertical="top"/>
    </xf>
    <xf numFmtId="2" fontId="30" fillId="33" borderId="0" xfId="59" applyNumberFormat="1" applyFont="1" applyFill="1" applyBorder="1" applyAlignment="1">
      <alignment horizontal="center" vertical="top"/>
    </xf>
    <xf numFmtId="2" fontId="29" fillId="33" borderId="0" xfId="59" applyNumberFormat="1" applyFont="1" applyFill="1" applyBorder="1" applyAlignment="1">
      <alignment horizontal="center" vertical="top"/>
    </xf>
    <xf numFmtId="2" fontId="29" fillId="33" borderId="0" xfId="59" applyNumberFormat="1" applyFont="1" applyFill="1" applyBorder="1" applyAlignment="1">
      <alignment vertical="top"/>
    </xf>
    <xf numFmtId="0" fontId="29" fillId="33" borderId="0" xfId="0" applyFont="1" applyFill="1" applyBorder="1" applyAlignment="1">
      <alignment vertical="top"/>
    </xf>
    <xf numFmtId="3" fontId="30" fillId="33" borderId="0" xfId="59" applyNumberFormat="1" applyFont="1" applyFill="1" applyBorder="1" applyAlignment="1">
      <alignment horizontal="center" vertical="top"/>
    </xf>
    <xf numFmtId="2" fontId="29" fillId="33" borderId="0" xfId="59" applyNumberFormat="1" applyFont="1" applyFill="1" applyAlignment="1">
      <alignment horizontal="center" vertical="top"/>
    </xf>
    <xf numFmtId="2" fontId="29" fillId="33" borderId="0" xfId="59" applyNumberFormat="1" applyFont="1" applyFill="1" applyAlignment="1">
      <alignment vertical="top"/>
    </xf>
    <xf numFmtId="0" fontId="29" fillId="33" borderId="0" xfId="0" applyFont="1" applyFill="1" applyAlignment="1">
      <alignment vertical="top"/>
    </xf>
    <xf numFmtId="3" fontId="29" fillId="33" borderId="0" xfId="59" applyNumberFormat="1" applyFont="1" applyFill="1" applyAlignment="1">
      <alignment horizontal="center" vertical="top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2" fontId="6" fillId="33" borderId="0" xfId="59" applyNumberFormat="1" applyFont="1" applyFill="1" applyAlignment="1">
      <alignment horizontal="center"/>
    </xf>
    <xf numFmtId="2" fontId="0" fillId="33" borderId="0" xfId="59" applyNumberFormat="1" applyFont="1" applyFill="1" applyAlignment="1">
      <alignment horizontal="center"/>
    </xf>
    <xf numFmtId="2" fontId="6" fillId="33" borderId="0" xfId="59" applyNumberFormat="1" applyFont="1" applyFill="1" applyAlignment="1">
      <alignment/>
    </xf>
    <xf numFmtId="0" fontId="0" fillId="33" borderId="0" xfId="0" applyFill="1" applyAlignment="1">
      <alignment/>
    </xf>
    <xf numFmtId="3" fontId="0" fillId="33" borderId="0" xfId="59" applyNumberFormat="1" applyFont="1" applyFill="1" applyAlignment="1">
      <alignment horizontal="center"/>
    </xf>
    <xf numFmtId="0" fontId="30" fillId="36" borderId="27" xfId="0" applyFont="1" applyFill="1" applyBorder="1" applyAlignment="1">
      <alignment horizontal="center" vertical="top"/>
    </xf>
    <xf numFmtId="0" fontId="30" fillId="36" borderId="27" xfId="0" applyFont="1" applyFill="1" applyBorder="1" applyAlignment="1">
      <alignment vertical="top"/>
    </xf>
    <xf numFmtId="2" fontId="30" fillId="36" borderId="27" xfId="59" applyNumberFormat="1" applyFont="1" applyFill="1" applyBorder="1" applyAlignment="1">
      <alignment horizontal="center" vertical="top"/>
    </xf>
    <xf numFmtId="0" fontId="29" fillId="36" borderId="27" xfId="0" applyFont="1" applyFill="1" applyBorder="1" applyAlignment="1">
      <alignment vertical="top"/>
    </xf>
    <xf numFmtId="3" fontId="30" fillId="36" borderId="27" xfId="59" applyNumberFormat="1" applyFont="1" applyFill="1" applyBorder="1" applyAlignment="1">
      <alignment horizontal="center" vertical="top"/>
    </xf>
    <xf numFmtId="0" fontId="29" fillId="33" borderId="22" xfId="0" applyFont="1" applyFill="1" applyBorder="1" applyAlignment="1">
      <alignment horizontal="center" vertical="top"/>
    </xf>
    <xf numFmtId="0" fontId="30" fillId="33" borderId="55" xfId="0" applyFont="1" applyFill="1" applyBorder="1" applyAlignment="1">
      <alignment horizontal="center" vertical="top"/>
    </xf>
    <xf numFmtId="0" fontId="30" fillId="33" borderId="37" xfId="0" applyFont="1" applyFill="1" applyBorder="1" applyAlignment="1">
      <alignment horizontal="center" vertical="top"/>
    </xf>
    <xf numFmtId="2" fontId="69" fillId="33" borderId="0" xfId="59" applyNumberFormat="1" applyFont="1" applyFill="1" applyBorder="1" applyAlignment="1">
      <alignment horizontal="center" vertical="top"/>
    </xf>
    <xf numFmtId="2" fontId="30" fillId="33" borderId="18" xfId="59" applyNumberFormat="1" applyFont="1" applyFill="1" applyBorder="1" applyAlignment="1">
      <alignment horizontal="left" vertical="top" wrapText="1"/>
    </xf>
    <xf numFmtId="2" fontId="30" fillId="33" borderId="0" xfId="59" applyNumberFormat="1" applyFont="1" applyFill="1" applyBorder="1" applyAlignment="1">
      <alignment horizontal="left" vertical="top" wrapText="1"/>
    </xf>
    <xf numFmtId="0" fontId="28" fillId="0" borderId="22" xfId="0" applyFont="1" applyBorder="1" applyAlignment="1">
      <alignment horizontal="center"/>
    </xf>
    <xf numFmtId="0" fontId="29" fillId="0" borderId="19" xfId="0" applyFont="1" applyFill="1" applyBorder="1" applyAlignment="1">
      <alignment horizontal="left" vertical="top" wrapText="1"/>
    </xf>
    <xf numFmtId="0" fontId="29" fillId="0" borderId="23" xfId="0" applyFont="1" applyFill="1" applyBorder="1" applyAlignment="1">
      <alignment horizontal="left" vertical="top" wrapText="1"/>
    </xf>
    <xf numFmtId="2" fontId="31" fillId="33" borderId="19" xfId="0" applyNumberFormat="1" applyFont="1" applyFill="1" applyBorder="1" applyAlignment="1">
      <alignment horizontal="center" vertical="top" wrapText="1"/>
    </xf>
    <xf numFmtId="2" fontId="31" fillId="33" borderId="23" xfId="0" applyNumberFormat="1" applyFont="1" applyFill="1" applyBorder="1" applyAlignment="1">
      <alignment horizontal="center" vertical="top" wrapText="1"/>
    </xf>
    <xf numFmtId="0" fontId="68" fillId="34" borderId="27" xfId="0" applyFont="1" applyFill="1" applyBorder="1" applyAlignment="1">
      <alignment horizontal="left" vertical="center" wrapText="1"/>
    </xf>
    <xf numFmtId="0" fontId="68" fillId="34" borderId="55" xfId="0" applyFont="1" applyFill="1" applyBorder="1" applyAlignment="1">
      <alignment horizontal="left" vertical="center" wrapText="1"/>
    </xf>
    <xf numFmtId="0" fontId="68" fillId="34" borderId="19" xfId="0" applyFont="1" applyFill="1" applyBorder="1" applyAlignment="1">
      <alignment horizontal="left" vertical="center" wrapText="1"/>
    </xf>
    <xf numFmtId="0" fontId="68" fillId="34" borderId="15" xfId="0" applyFont="1" applyFill="1" applyBorder="1" applyAlignment="1">
      <alignment horizontal="left" vertical="center" wrapText="1"/>
    </xf>
    <xf numFmtId="0" fontId="68" fillId="34" borderId="23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center" vertical="top"/>
    </xf>
    <xf numFmtId="0" fontId="30" fillId="0" borderId="55" xfId="0" applyFont="1" applyFill="1" applyBorder="1" applyAlignment="1">
      <alignment horizontal="center" vertical="top"/>
    </xf>
    <xf numFmtId="0" fontId="30" fillId="0" borderId="37" xfId="0" applyFont="1" applyFill="1" applyBorder="1" applyAlignment="1">
      <alignment horizontal="center" vertical="top"/>
    </xf>
    <xf numFmtId="2" fontId="31" fillId="0" borderId="27" xfId="0" applyNumberFormat="1" applyFont="1" applyFill="1" applyBorder="1" applyAlignment="1">
      <alignment horizontal="center" vertical="top" wrapText="1"/>
    </xf>
    <xf numFmtId="2" fontId="29" fillId="0" borderId="27" xfId="59" applyNumberFormat="1" applyFont="1" applyFill="1" applyBorder="1" applyAlignment="1">
      <alignment horizontal="center" vertical="top"/>
    </xf>
    <xf numFmtId="2" fontId="29" fillId="0" borderId="19" xfId="59" applyNumberFormat="1" applyFont="1" applyFill="1" applyBorder="1" applyAlignment="1">
      <alignment horizontal="center" vertical="top"/>
    </xf>
    <xf numFmtId="2" fontId="29" fillId="0" borderId="23" xfId="59" applyNumberFormat="1" applyFont="1" applyFill="1" applyBorder="1" applyAlignment="1">
      <alignment horizontal="center" vertical="top"/>
    </xf>
    <xf numFmtId="0" fontId="29" fillId="0" borderId="19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2" fontId="30" fillId="37" borderId="18" xfId="59" applyNumberFormat="1" applyFont="1" applyFill="1" applyBorder="1" applyAlignment="1">
      <alignment horizontal="left" vertical="top" wrapText="1"/>
    </xf>
    <xf numFmtId="2" fontId="30" fillId="37" borderId="0" xfId="59" applyNumberFormat="1" applyFont="1" applyFill="1" applyBorder="1" applyAlignment="1">
      <alignment horizontal="left" vertical="top" wrapText="1"/>
    </xf>
    <xf numFmtId="2" fontId="69" fillId="0" borderId="0" xfId="59" applyNumberFormat="1" applyFont="1" applyFill="1" applyBorder="1" applyAlignment="1">
      <alignment horizontal="center" vertical="top"/>
    </xf>
    <xf numFmtId="0" fontId="29" fillId="33" borderId="19" xfId="0" applyFont="1" applyFill="1" applyBorder="1" applyAlignment="1">
      <alignment horizontal="center" vertical="center" wrapText="1"/>
    </xf>
    <xf numFmtId="0" fontId="29" fillId="33" borderId="27" xfId="0" applyFont="1" applyFill="1" applyBorder="1" applyAlignment="1">
      <alignment horizontal="center" vertical="center" wrapText="1"/>
    </xf>
    <xf numFmtId="0" fontId="29" fillId="33" borderId="27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/>
    </xf>
    <xf numFmtId="2" fontId="29" fillId="33" borderId="27" xfId="59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8.75390625" style="0" customWidth="1"/>
    <col min="2" max="2" width="42.00390625" style="0" customWidth="1"/>
    <col min="4" max="4" width="19.375" style="0" customWidth="1"/>
    <col min="5" max="5" width="22.375" style="0" customWidth="1"/>
    <col min="6" max="6" width="20.125" style="0" customWidth="1"/>
    <col min="8" max="8" width="12.25390625" style="0" customWidth="1"/>
  </cols>
  <sheetData>
    <row r="1" spans="1:8" ht="12.75">
      <c r="A1" s="1" t="s">
        <v>48</v>
      </c>
      <c r="B1" s="1" t="s">
        <v>52</v>
      </c>
      <c r="C1" s="1"/>
      <c r="D1" s="1"/>
      <c r="E1" s="2"/>
      <c r="F1" s="1"/>
      <c r="G1" s="1"/>
      <c r="H1" s="1"/>
    </row>
    <row r="2" spans="1:8" ht="12.75">
      <c r="A2" s="1" t="s">
        <v>44</v>
      </c>
      <c r="B2" s="1"/>
      <c r="C2" s="1"/>
      <c r="D2" s="1"/>
      <c r="E2" s="2"/>
      <c r="F2" s="1"/>
      <c r="G2" s="1"/>
      <c r="H2" s="1"/>
    </row>
    <row r="3" spans="1:8" ht="12.75">
      <c r="A3" s="1" t="s">
        <v>45</v>
      </c>
      <c r="B3" s="1" t="s">
        <v>51</v>
      </c>
      <c r="C3" s="1"/>
      <c r="D3" s="1"/>
      <c r="E3" s="2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 t="s">
        <v>6</v>
      </c>
      <c r="C5" s="1"/>
      <c r="D5" s="1"/>
      <c r="E5" s="2"/>
      <c r="F5" s="1"/>
      <c r="G5" s="1"/>
      <c r="H5" s="1"/>
    </row>
    <row r="6" spans="1:8" ht="12.75">
      <c r="A6" s="1"/>
      <c r="B6" s="48" t="s">
        <v>55</v>
      </c>
      <c r="C6" s="1"/>
      <c r="D6" s="1"/>
      <c r="E6" s="2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 t="s">
        <v>46</v>
      </c>
      <c r="C8" s="3"/>
      <c r="D8" s="48" t="s">
        <v>53</v>
      </c>
      <c r="E8" s="2" t="s">
        <v>37</v>
      </c>
      <c r="F8" s="3"/>
      <c r="G8" s="3"/>
      <c r="H8" s="1"/>
    </row>
    <row r="9" spans="1:8" ht="12.75">
      <c r="A9" s="1"/>
      <c r="B9" s="1" t="s">
        <v>39</v>
      </c>
      <c r="C9" s="3"/>
      <c r="D9" s="1" t="s">
        <v>32</v>
      </c>
      <c r="E9" s="2"/>
      <c r="F9" s="3"/>
      <c r="G9" s="3"/>
      <c r="H9" s="1"/>
    </row>
    <row r="10" spans="1:8" ht="12.75">
      <c r="A10" s="1"/>
      <c r="B10" s="1" t="s">
        <v>36</v>
      </c>
      <c r="C10" s="3"/>
      <c r="D10" s="1">
        <v>32</v>
      </c>
      <c r="E10" s="2" t="s">
        <v>38</v>
      </c>
      <c r="F10" s="3">
        <v>95</v>
      </c>
      <c r="G10" s="3"/>
      <c r="H10" s="1"/>
    </row>
    <row r="11" spans="1:8" ht="13.5" thickBot="1">
      <c r="A11" s="1"/>
      <c r="B11" s="1" t="s">
        <v>54</v>
      </c>
      <c r="C11" s="1"/>
      <c r="D11" s="1"/>
      <c r="E11" s="2"/>
      <c r="F11" s="1"/>
      <c r="G11" s="1"/>
      <c r="H11" s="1"/>
    </row>
    <row r="12" spans="1:8" ht="12.75">
      <c r="A12" s="4" t="s">
        <v>30</v>
      </c>
      <c r="B12" s="5" t="s">
        <v>1</v>
      </c>
      <c r="C12" s="6" t="s">
        <v>2</v>
      </c>
      <c r="D12" s="7" t="s">
        <v>4</v>
      </c>
      <c r="E12" s="8" t="s">
        <v>33</v>
      </c>
      <c r="F12" s="9"/>
      <c r="G12" s="9"/>
      <c r="H12" s="10"/>
    </row>
    <row r="13" spans="1:8" ht="12.75">
      <c r="A13" s="11" t="s">
        <v>31</v>
      </c>
      <c r="B13" s="12"/>
      <c r="C13" s="13" t="s">
        <v>3</v>
      </c>
      <c r="D13" s="14" t="s">
        <v>5</v>
      </c>
      <c r="E13" s="15" t="s">
        <v>34</v>
      </c>
      <c r="F13" s="14" t="s">
        <v>49</v>
      </c>
      <c r="G13" s="14"/>
      <c r="H13" s="16" t="s">
        <v>42</v>
      </c>
    </row>
    <row r="14" spans="1:8" ht="12.75">
      <c r="A14" s="11"/>
      <c r="B14" s="12"/>
      <c r="C14" s="13"/>
      <c r="D14" s="14"/>
      <c r="E14" s="15" t="s">
        <v>40</v>
      </c>
      <c r="F14" s="14" t="s">
        <v>50</v>
      </c>
      <c r="G14" s="14"/>
      <c r="H14" s="16" t="s">
        <v>41</v>
      </c>
    </row>
    <row r="15" spans="1:8" ht="12.75">
      <c r="A15" s="17">
        <v>1</v>
      </c>
      <c r="B15" s="18" t="s">
        <v>22</v>
      </c>
      <c r="C15" s="19"/>
      <c r="D15" s="20"/>
      <c r="E15" s="21"/>
      <c r="F15" s="20"/>
      <c r="G15" s="20"/>
      <c r="H15" s="22"/>
    </row>
    <row r="16" spans="1:8" ht="12.75">
      <c r="A16" s="23"/>
      <c r="B16" s="24" t="s">
        <v>23</v>
      </c>
      <c r="C16" s="25">
        <v>3.39</v>
      </c>
      <c r="D16" s="26" t="s">
        <v>16</v>
      </c>
      <c r="E16" s="27">
        <v>9831</v>
      </c>
      <c r="F16" s="26"/>
      <c r="G16" s="26"/>
      <c r="H16" s="28"/>
    </row>
    <row r="17" spans="1:8" ht="12.75">
      <c r="A17" s="11">
        <v>2</v>
      </c>
      <c r="B17" s="12" t="s">
        <v>24</v>
      </c>
      <c r="C17" s="29"/>
      <c r="D17" s="14"/>
      <c r="E17" s="30"/>
      <c r="F17" s="14"/>
      <c r="G17" s="14"/>
      <c r="H17" s="16"/>
    </row>
    <row r="18" spans="1:8" ht="12.75">
      <c r="A18" s="23"/>
      <c r="B18" s="24" t="s">
        <v>25</v>
      </c>
      <c r="C18" s="25">
        <v>4.57</v>
      </c>
      <c r="D18" s="26" t="s">
        <v>16</v>
      </c>
      <c r="E18" s="27">
        <v>13253</v>
      </c>
      <c r="F18" s="26"/>
      <c r="G18" s="26"/>
      <c r="H18" s="28"/>
    </row>
    <row r="19" spans="1:8" ht="12.75">
      <c r="A19" s="23">
        <v>3</v>
      </c>
      <c r="B19" s="24" t="s">
        <v>7</v>
      </c>
      <c r="C19" s="25">
        <v>1.29</v>
      </c>
      <c r="D19" s="26" t="s">
        <v>16</v>
      </c>
      <c r="E19" s="30">
        <v>3741</v>
      </c>
      <c r="F19" s="26"/>
      <c r="G19" s="26"/>
      <c r="H19" s="28"/>
    </row>
    <row r="20" spans="1:8" ht="12.75">
      <c r="A20" s="31">
        <v>4</v>
      </c>
      <c r="B20" s="32" t="s">
        <v>8</v>
      </c>
      <c r="C20" s="33">
        <v>0.89</v>
      </c>
      <c r="D20" s="34" t="s">
        <v>16</v>
      </c>
      <c r="E20" s="35"/>
      <c r="F20" s="34"/>
      <c r="G20" s="26"/>
      <c r="H20" s="28"/>
    </row>
    <row r="21" spans="1:8" ht="12.75">
      <c r="A21" s="31">
        <v>5</v>
      </c>
      <c r="B21" s="32" t="s">
        <v>9</v>
      </c>
      <c r="C21" s="49" t="s">
        <v>56</v>
      </c>
      <c r="D21" s="34" t="s">
        <v>16</v>
      </c>
      <c r="E21" s="35">
        <v>3683</v>
      </c>
      <c r="F21" s="34"/>
      <c r="G21" s="26"/>
      <c r="H21" s="28"/>
    </row>
    <row r="22" spans="1:8" ht="12.75">
      <c r="A22" s="31">
        <v>6</v>
      </c>
      <c r="B22" s="32" t="s">
        <v>26</v>
      </c>
      <c r="C22" s="33">
        <v>2.9</v>
      </c>
      <c r="D22" s="34" t="s">
        <v>16</v>
      </c>
      <c r="E22" s="35">
        <v>4925</v>
      </c>
      <c r="F22" s="34"/>
      <c r="G22" s="26"/>
      <c r="H22" s="28"/>
    </row>
    <row r="23" spans="1:8" ht="12.75">
      <c r="A23" s="31">
        <v>7</v>
      </c>
      <c r="B23" s="32" t="s">
        <v>27</v>
      </c>
      <c r="C23" s="33"/>
      <c r="D23" s="34" t="s">
        <v>35</v>
      </c>
      <c r="E23" s="35"/>
      <c r="F23" s="34"/>
      <c r="G23" s="26"/>
      <c r="H23" s="28"/>
    </row>
    <row r="24" spans="1:8" ht="12.75">
      <c r="A24" s="31">
        <v>9</v>
      </c>
      <c r="B24" s="32" t="s">
        <v>10</v>
      </c>
      <c r="C24" s="33">
        <v>0.46</v>
      </c>
      <c r="D24" s="34" t="s">
        <v>18</v>
      </c>
      <c r="E24" s="35">
        <v>29256</v>
      </c>
      <c r="F24" s="36"/>
      <c r="G24" s="37"/>
      <c r="H24" s="28"/>
    </row>
    <row r="25" spans="1:8" ht="12.75">
      <c r="A25" s="31">
        <v>11</v>
      </c>
      <c r="B25" s="32" t="s">
        <v>43</v>
      </c>
      <c r="C25" s="33">
        <v>199.86</v>
      </c>
      <c r="D25" s="34" t="s">
        <v>11</v>
      </c>
      <c r="E25" s="35">
        <v>15533</v>
      </c>
      <c r="F25" s="36"/>
      <c r="G25" s="37"/>
      <c r="H25" s="28"/>
    </row>
    <row r="26" spans="1:8" ht="12.75">
      <c r="A26" s="31"/>
      <c r="B26" s="32" t="s">
        <v>28</v>
      </c>
      <c r="C26" s="33">
        <v>11.14</v>
      </c>
      <c r="D26" s="34" t="s">
        <v>29</v>
      </c>
      <c r="E26" s="35"/>
      <c r="F26" s="34"/>
      <c r="G26" s="26"/>
      <c r="H26" s="28"/>
    </row>
    <row r="27" spans="1:8" ht="12.75">
      <c r="A27" s="31">
        <v>12</v>
      </c>
      <c r="B27" s="32" t="s">
        <v>12</v>
      </c>
      <c r="C27" s="33">
        <v>217.69</v>
      </c>
      <c r="D27" s="34" t="s">
        <v>11</v>
      </c>
      <c r="E27" s="35">
        <v>16673</v>
      </c>
      <c r="F27" s="34"/>
      <c r="G27" s="26"/>
      <c r="H27" s="28"/>
    </row>
    <row r="28" spans="1:8" ht="12.75">
      <c r="A28" s="31"/>
      <c r="B28" s="32" t="s">
        <v>28</v>
      </c>
      <c r="C28" s="33">
        <v>47.74</v>
      </c>
      <c r="D28" s="34" t="s">
        <v>29</v>
      </c>
      <c r="E28" s="35"/>
      <c r="F28" s="34"/>
      <c r="G28" s="26"/>
      <c r="H28" s="28"/>
    </row>
    <row r="29" spans="1:8" ht="12.75">
      <c r="A29" s="31">
        <v>13</v>
      </c>
      <c r="B29" s="32" t="s">
        <v>13</v>
      </c>
      <c r="C29" s="33">
        <v>13.29</v>
      </c>
      <c r="D29" s="34" t="s">
        <v>16</v>
      </c>
      <c r="E29" s="35">
        <v>861635.34</v>
      </c>
      <c r="F29" s="34"/>
      <c r="G29" s="26"/>
      <c r="H29" s="28"/>
    </row>
    <row r="30" spans="1:8" ht="12.75">
      <c r="A30" s="31">
        <v>14</v>
      </c>
      <c r="B30" s="32" t="s">
        <v>14</v>
      </c>
      <c r="C30" s="33">
        <v>28.08</v>
      </c>
      <c r="D30" s="34" t="s">
        <v>11</v>
      </c>
      <c r="E30" s="35">
        <v>0</v>
      </c>
      <c r="F30" s="34"/>
      <c r="G30" s="26"/>
      <c r="H30" s="28"/>
    </row>
    <row r="31" spans="1:8" ht="12.75">
      <c r="A31" s="31">
        <v>15</v>
      </c>
      <c r="B31" s="32" t="s">
        <v>0</v>
      </c>
      <c r="C31" s="33">
        <v>28</v>
      </c>
      <c r="D31" s="34" t="s">
        <v>18</v>
      </c>
      <c r="E31" s="35">
        <v>25056</v>
      </c>
      <c r="F31" s="34"/>
      <c r="G31" s="26"/>
      <c r="H31" s="28"/>
    </row>
    <row r="32" spans="1:8" ht="12.75">
      <c r="A32" s="31">
        <v>16</v>
      </c>
      <c r="B32" s="32" t="s">
        <v>15</v>
      </c>
      <c r="C32" s="33">
        <v>111</v>
      </c>
      <c r="D32" s="34" t="s">
        <v>18</v>
      </c>
      <c r="E32" s="35">
        <v>56700</v>
      </c>
      <c r="F32" s="34"/>
      <c r="G32" s="26"/>
      <c r="H32" s="28"/>
    </row>
    <row r="33" spans="1:8" ht="12.75">
      <c r="A33" s="31">
        <v>17</v>
      </c>
      <c r="B33" s="32" t="s">
        <v>17</v>
      </c>
      <c r="C33" s="50" t="s">
        <v>56</v>
      </c>
      <c r="D33" s="34" t="s">
        <v>18</v>
      </c>
      <c r="E33" s="35">
        <v>71997.07</v>
      </c>
      <c r="F33" s="34"/>
      <c r="G33" s="26"/>
      <c r="H33" s="28"/>
    </row>
    <row r="34" spans="1:8" ht="12.75">
      <c r="A34" s="31">
        <v>18</v>
      </c>
      <c r="B34" s="32" t="s">
        <v>19</v>
      </c>
      <c r="C34" s="51" t="s">
        <v>56</v>
      </c>
      <c r="D34" s="34" t="s">
        <v>16</v>
      </c>
      <c r="E34" s="35">
        <v>0</v>
      </c>
      <c r="F34" s="34"/>
      <c r="G34" s="26"/>
      <c r="H34" s="28"/>
    </row>
    <row r="35" spans="1:8" ht="12.75">
      <c r="A35" s="31">
        <v>19</v>
      </c>
      <c r="B35" s="52" t="s">
        <v>57</v>
      </c>
      <c r="C35" s="38">
        <v>0.2</v>
      </c>
      <c r="D35" s="34" t="s">
        <v>16</v>
      </c>
      <c r="E35" s="35">
        <v>6690.65</v>
      </c>
      <c r="F35" s="34"/>
      <c r="G35" s="26"/>
      <c r="H35" s="28"/>
    </row>
    <row r="36" spans="1:8" ht="12.75">
      <c r="A36" s="31">
        <v>20</v>
      </c>
      <c r="B36" s="32" t="s">
        <v>20</v>
      </c>
      <c r="C36" s="51" t="s">
        <v>56</v>
      </c>
      <c r="D36" s="34" t="s">
        <v>16</v>
      </c>
      <c r="E36" s="35">
        <v>0</v>
      </c>
      <c r="F36" s="34"/>
      <c r="G36" s="26"/>
      <c r="H36" s="28"/>
    </row>
    <row r="37" spans="1:8" ht="12.75">
      <c r="A37" s="31">
        <v>21</v>
      </c>
      <c r="B37" s="32" t="s">
        <v>21</v>
      </c>
      <c r="C37" s="51" t="s">
        <v>56</v>
      </c>
      <c r="D37" s="34" t="s">
        <v>18</v>
      </c>
      <c r="E37" s="35">
        <v>10394.36</v>
      </c>
      <c r="F37" s="34"/>
      <c r="G37" s="26"/>
      <c r="H37" s="28"/>
    </row>
    <row r="38" spans="1:8" ht="13.5" thickBot="1">
      <c r="A38" s="39"/>
      <c r="B38" s="40"/>
      <c r="C38" s="41"/>
      <c r="D38" s="42"/>
      <c r="E38" s="43">
        <v>1129368.42</v>
      </c>
      <c r="F38" s="42"/>
      <c r="G38" s="44"/>
      <c r="H38" s="45"/>
    </row>
    <row r="39" spans="1:8" ht="12.75">
      <c r="A39" s="46">
        <v>22</v>
      </c>
      <c r="B39" s="1"/>
      <c r="C39" s="1"/>
      <c r="D39" s="12"/>
      <c r="E39" s="47"/>
      <c r="F39" s="12"/>
      <c r="G39" s="12"/>
      <c r="H39" s="1"/>
    </row>
    <row r="40" spans="1:8" ht="12.75">
      <c r="A40" s="1"/>
      <c r="B40" s="1"/>
      <c r="C40" s="1"/>
      <c r="D40" s="12"/>
      <c r="E40" s="47"/>
      <c r="F40" s="12"/>
      <c r="G40" s="12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 t="s">
        <v>47</v>
      </c>
      <c r="B43" s="1"/>
      <c r="C43" s="1"/>
      <c r="D43" s="1"/>
      <c r="E43" s="2"/>
      <c r="F43" s="1"/>
      <c r="G43" s="1"/>
      <c r="H4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4"/>
  <sheetViews>
    <sheetView zoomScalePageLayoutView="0" workbookViewId="0" topLeftCell="A1">
      <selection activeCell="J10" sqref="J10"/>
    </sheetView>
  </sheetViews>
  <sheetFormatPr defaultColWidth="9.00390625" defaultRowHeight="12.75"/>
  <cols>
    <col min="2" max="2" width="32.75390625" style="0" customWidth="1"/>
    <col min="3" max="3" width="11.25390625" style="0" customWidth="1"/>
  </cols>
  <sheetData>
    <row r="2" spans="1:21" s="205" customFormat="1" ht="18" customHeight="1">
      <c r="A2" s="220" t="s">
        <v>284</v>
      </c>
      <c r="B2" s="202"/>
      <c r="C2" s="204"/>
      <c r="D2" s="204"/>
      <c r="E2" s="218"/>
      <c r="F2" s="208"/>
      <c r="G2" s="219"/>
      <c r="H2" s="208"/>
      <c r="I2" s="218" t="s">
        <v>283</v>
      </c>
      <c r="J2" s="208"/>
      <c r="K2" s="204"/>
      <c r="L2" s="204"/>
      <c r="M2" s="202"/>
      <c r="N2" s="204"/>
      <c r="O2" s="204"/>
      <c r="P2" s="202"/>
      <c r="Q2" s="202"/>
      <c r="R2" s="202"/>
      <c r="S2" s="204"/>
      <c r="T2" s="208"/>
      <c r="U2" s="213"/>
    </row>
    <row r="3" spans="1:21" s="205" customFormat="1" ht="30" customHeight="1">
      <c r="A3" s="202"/>
      <c r="B3" s="203"/>
      <c r="C3" s="204"/>
      <c r="D3" s="204"/>
      <c r="E3" s="202"/>
      <c r="F3" s="208"/>
      <c r="G3" s="212"/>
      <c r="H3" s="208"/>
      <c r="I3" s="212"/>
      <c r="J3" s="208"/>
      <c r="K3" s="204"/>
      <c r="L3" s="204"/>
      <c r="M3" s="202"/>
      <c r="N3" s="204"/>
      <c r="O3" s="204"/>
      <c r="P3" s="202"/>
      <c r="Q3" s="202"/>
      <c r="R3" s="202"/>
      <c r="S3" s="204"/>
      <c r="T3" s="208"/>
      <c r="U3" s="213"/>
    </row>
    <row r="4" spans="1:21" s="195" customFormat="1" ht="18.75" customHeight="1">
      <c r="A4" s="194"/>
      <c r="B4" s="196"/>
      <c r="C4" s="191"/>
      <c r="D4" s="191"/>
      <c r="E4" s="194"/>
      <c r="F4" s="209"/>
      <c r="G4" s="212"/>
      <c r="H4" s="209"/>
      <c r="I4" s="212"/>
      <c r="J4" s="209"/>
      <c r="K4" s="191"/>
      <c r="L4" s="191"/>
      <c r="M4" s="194"/>
      <c r="N4" s="191"/>
      <c r="O4" s="191"/>
      <c r="P4" s="194"/>
      <c r="Q4" s="194"/>
      <c r="R4" s="194"/>
      <c r="S4" s="191"/>
      <c r="T4" s="209"/>
      <c r="U4" s="214"/>
    </row>
    <row r="5" spans="1:21" s="195" customFormat="1" ht="12.75">
      <c r="A5" s="194"/>
      <c r="B5" s="217" t="s">
        <v>162</v>
      </c>
      <c r="C5" s="229">
        <v>6608.1</v>
      </c>
      <c r="D5" s="194"/>
      <c r="E5" s="193"/>
      <c r="F5" s="209"/>
      <c r="G5" s="212"/>
      <c r="H5" s="209"/>
      <c r="I5" s="212"/>
      <c r="J5" s="209"/>
      <c r="K5" s="191"/>
      <c r="L5" s="191"/>
      <c r="M5" s="194"/>
      <c r="N5" s="191"/>
      <c r="O5" s="191"/>
      <c r="P5" s="194"/>
      <c r="Q5" s="194"/>
      <c r="R5" s="194"/>
      <c r="S5" s="191"/>
      <c r="T5" s="209"/>
      <c r="U5" s="214"/>
    </row>
    <row r="6" spans="1:21" s="199" customFormat="1" ht="18" customHeight="1">
      <c r="A6" s="197"/>
      <c r="B6" s="217" t="s">
        <v>36</v>
      </c>
      <c r="C6" s="230">
        <v>41</v>
      </c>
      <c r="D6" s="198"/>
      <c r="E6" s="197"/>
      <c r="F6" s="210"/>
      <c r="G6" s="212"/>
      <c r="H6" s="210"/>
      <c r="I6" s="212"/>
      <c r="J6" s="210"/>
      <c r="K6" s="192"/>
      <c r="L6" s="192"/>
      <c r="M6" s="197"/>
      <c r="N6" s="192"/>
      <c r="O6" s="192"/>
      <c r="P6" s="197"/>
      <c r="Q6" s="197"/>
      <c r="R6" s="197"/>
      <c r="S6" s="192"/>
      <c r="T6" s="210"/>
      <c r="U6" s="215"/>
    </row>
    <row r="15" ht="35.25" customHeight="1">
      <c r="C15" s="221" t="s">
        <v>276</v>
      </c>
    </row>
    <row r="18" ht="20.25">
      <c r="C18" s="222"/>
    </row>
    <row r="33" ht="12.75">
      <c r="B33" s="206"/>
    </row>
    <row r="34" ht="12.75">
      <c r="B34" s="20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="125" zoomScaleNormal="125" zoomScalePageLayoutView="0" workbookViewId="0" topLeftCell="C1">
      <selection activeCell="R13" sqref="R13:S13"/>
    </sheetView>
  </sheetViews>
  <sheetFormatPr defaultColWidth="9.00390625" defaultRowHeight="12.75"/>
  <cols>
    <col min="1" max="1" width="3.25390625" style="0" customWidth="1"/>
    <col min="2" max="2" width="26.625" style="0" customWidth="1"/>
    <col min="3" max="4" width="10.625" style="53" customWidth="1"/>
    <col min="5" max="5" width="8.875" style="0" customWidth="1"/>
    <col min="6" max="6" width="11.875" style="53" customWidth="1"/>
    <col min="7" max="7" width="12.125" style="53" customWidth="1"/>
    <col min="8" max="8" width="1.00390625" style="55" customWidth="1"/>
    <col min="9" max="9" width="1.25" style="55" customWidth="1"/>
    <col min="10" max="11" width="1.00390625" style="55" customWidth="1"/>
    <col min="12" max="12" width="12.75390625" style="0" customWidth="1"/>
    <col min="13" max="13" width="1.12109375" style="53" customWidth="1"/>
    <col min="14" max="14" width="0.74609375" style="53" customWidth="1"/>
    <col min="15" max="15" width="16.875" style="0" customWidth="1"/>
    <col min="16" max="16" width="10.875" style="0" customWidth="1"/>
    <col min="17" max="17" width="9.75390625" style="53" customWidth="1"/>
    <col min="18" max="18" width="11.25390625" style="53" customWidth="1"/>
    <col min="19" max="19" width="11.25390625" style="0" bestFit="1" customWidth="1"/>
  </cols>
  <sheetData>
    <row r="1" spans="1:19" s="58" customFormat="1" ht="18" customHeight="1">
      <c r="A1" s="56" t="s">
        <v>145</v>
      </c>
      <c r="B1" s="56"/>
      <c r="C1" s="54"/>
      <c r="D1" s="54"/>
      <c r="E1" s="56"/>
      <c r="F1" s="54" t="s">
        <v>146</v>
      </c>
      <c r="G1" s="57"/>
      <c r="H1" s="54"/>
      <c r="I1" s="54"/>
      <c r="J1" s="54"/>
      <c r="K1" s="54"/>
      <c r="L1" s="56"/>
      <c r="M1" s="54"/>
      <c r="N1" s="54"/>
      <c r="O1" s="56"/>
      <c r="P1" s="56"/>
      <c r="Q1" s="54"/>
      <c r="R1" s="54"/>
      <c r="S1" s="56"/>
    </row>
    <row r="2" spans="1:19" s="58" customFormat="1" ht="18.75" customHeight="1">
      <c r="A2" s="56"/>
      <c r="B2" s="133" t="s">
        <v>124</v>
      </c>
      <c r="C2" s="54"/>
      <c r="D2" s="54"/>
      <c r="E2" s="56"/>
      <c r="F2" s="54"/>
      <c r="G2" s="57"/>
      <c r="H2" s="54"/>
      <c r="I2" s="54"/>
      <c r="J2" s="54"/>
      <c r="K2" s="54"/>
      <c r="L2" s="56"/>
      <c r="M2" s="54"/>
      <c r="N2" s="54"/>
      <c r="O2" s="56"/>
      <c r="P2" s="56"/>
      <c r="Q2" s="54"/>
      <c r="R2" s="54"/>
      <c r="S2" s="56"/>
    </row>
    <row r="3" spans="1:19" s="58" customFormat="1" ht="12">
      <c r="A3" s="56"/>
      <c r="B3" s="56" t="s">
        <v>58</v>
      </c>
      <c r="C3" s="59">
        <v>2437.7</v>
      </c>
      <c r="D3" s="59"/>
      <c r="E3" s="56" t="s">
        <v>32</v>
      </c>
      <c r="F3" s="59" t="s">
        <v>117</v>
      </c>
      <c r="G3" s="60">
        <v>79</v>
      </c>
      <c r="H3" s="54"/>
      <c r="I3" s="54"/>
      <c r="J3" s="54"/>
      <c r="K3" s="54"/>
      <c r="L3" s="56"/>
      <c r="M3" s="54"/>
      <c r="N3" s="54"/>
      <c r="O3" s="56"/>
      <c r="P3" s="56"/>
      <c r="Q3" s="54"/>
      <c r="R3" s="54"/>
      <c r="S3" s="56"/>
    </row>
    <row r="4" spans="1:19" s="76" customFormat="1" ht="12.75" thickBot="1">
      <c r="A4" s="71"/>
      <c r="B4" s="71" t="s">
        <v>36</v>
      </c>
      <c r="C4" s="72">
        <v>31</v>
      </c>
      <c r="D4" s="73"/>
      <c r="E4" s="71"/>
      <c r="F4" s="74"/>
      <c r="G4" s="75"/>
      <c r="H4" s="74"/>
      <c r="I4" s="74"/>
      <c r="J4" s="74"/>
      <c r="K4" s="74"/>
      <c r="L4" s="71"/>
      <c r="M4" s="74"/>
      <c r="N4" s="74"/>
      <c r="O4" s="71"/>
      <c r="P4" s="71"/>
      <c r="Q4" s="74"/>
      <c r="R4" s="74"/>
      <c r="S4" s="71"/>
    </row>
    <row r="5" spans="1:19" s="76" customFormat="1" ht="12">
      <c r="A5" s="77" t="s">
        <v>30</v>
      </c>
      <c r="B5" s="78" t="s">
        <v>1</v>
      </c>
      <c r="C5" s="65" t="s">
        <v>2</v>
      </c>
      <c r="D5" s="65" t="s">
        <v>2</v>
      </c>
      <c r="E5" s="79" t="s">
        <v>4</v>
      </c>
      <c r="F5" s="80" t="s">
        <v>33</v>
      </c>
      <c r="G5" s="80" t="s">
        <v>59</v>
      </c>
      <c r="H5" s="81"/>
      <c r="I5" s="81"/>
      <c r="J5" s="81"/>
      <c r="K5" s="81"/>
      <c r="L5" s="80" t="s">
        <v>59</v>
      </c>
      <c r="M5" s="81"/>
      <c r="N5" s="81"/>
      <c r="O5" s="82" t="s">
        <v>60</v>
      </c>
      <c r="P5" s="79" t="s">
        <v>61</v>
      </c>
      <c r="Q5" s="80" t="s">
        <v>62</v>
      </c>
      <c r="R5" s="83" t="s">
        <v>109</v>
      </c>
      <c r="S5" s="84" t="s">
        <v>63</v>
      </c>
    </row>
    <row r="6" spans="1:19" s="76" customFormat="1" ht="12">
      <c r="A6" s="85" t="s">
        <v>31</v>
      </c>
      <c r="B6" s="86"/>
      <c r="C6" s="66" t="s">
        <v>3</v>
      </c>
      <c r="D6" s="66" t="s">
        <v>3</v>
      </c>
      <c r="E6" s="87" t="s">
        <v>5</v>
      </c>
      <c r="F6" s="88" t="s">
        <v>34</v>
      </c>
      <c r="G6" s="88" t="s">
        <v>91</v>
      </c>
      <c r="H6" s="89"/>
      <c r="I6" s="89"/>
      <c r="J6" s="89"/>
      <c r="K6" s="89"/>
      <c r="L6" s="88" t="s">
        <v>97</v>
      </c>
      <c r="M6" s="89"/>
      <c r="N6" s="89"/>
      <c r="O6" s="90" t="s">
        <v>64</v>
      </c>
      <c r="P6" s="91" t="s">
        <v>65</v>
      </c>
      <c r="Q6" s="88" t="s">
        <v>66</v>
      </c>
      <c r="R6" s="92" t="s">
        <v>110</v>
      </c>
      <c r="S6" s="93"/>
    </row>
    <row r="7" spans="1:19" s="76" customFormat="1" ht="12">
      <c r="A7" s="85"/>
      <c r="B7" s="86"/>
      <c r="C7" s="67" t="s">
        <v>89</v>
      </c>
      <c r="D7" s="67" t="s">
        <v>90</v>
      </c>
      <c r="E7" s="87"/>
      <c r="F7" s="88" t="s">
        <v>40</v>
      </c>
      <c r="G7" s="88" t="s">
        <v>67</v>
      </c>
      <c r="H7" s="89" t="s">
        <v>68</v>
      </c>
      <c r="I7" s="89" t="s">
        <v>69</v>
      </c>
      <c r="J7" s="89" t="s">
        <v>70</v>
      </c>
      <c r="K7" s="89" t="s">
        <v>71</v>
      </c>
      <c r="L7" s="88" t="s">
        <v>67</v>
      </c>
      <c r="M7" s="89" t="s">
        <v>72</v>
      </c>
      <c r="N7" s="89" t="s">
        <v>73</v>
      </c>
      <c r="O7" s="94" t="s">
        <v>125</v>
      </c>
      <c r="P7" s="87"/>
      <c r="Q7" s="88" t="s">
        <v>74</v>
      </c>
      <c r="R7" s="92" t="s">
        <v>111</v>
      </c>
      <c r="S7" s="93"/>
    </row>
    <row r="8" spans="1:19" s="76" customFormat="1" ht="12.75" thickBot="1">
      <c r="A8" s="95"/>
      <c r="B8" s="96"/>
      <c r="C8" s="68"/>
      <c r="D8" s="68"/>
      <c r="E8" s="97"/>
      <c r="F8" s="98" t="s">
        <v>123</v>
      </c>
      <c r="G8" s="98" t="s">
        <v>75</v>
      </c>
      <c r="H8" s="99"/>
      <c r="I8" s="99"/>
      <c r="J8" s="99"/>
      <c r="K8" s="99"/>
      <c r="L8" s="98" t="s">
        <v>75</v>
      </c>
      <c r="M8" s="99"/>
      <c r="N8" s="99"/>
      <c r="O8" s="100"/>
      <c r="P8" s="97"/>
      <c r="Q8" s="99" t="s">
        <v>34</v>
      </c>
      <c r="R8" s="101" t="s">
        <v>112</v>
      </c>
      <c r="S8" s="102"/>
    </row>
    <row r="9" spans="1:19" s="76" customFormat="1" ht="12">
      <c r="A9" s="103">
        <v>1</v>
      </c>
      <c r="B9" s="138" t="s">
        <v>22</v>
      </c>
      <c r="C9" s="139"/>
      <c r="D9" s="139"/>
      <c r="E9" s="140"/>
      <c r="F9" s="81"/>
      <c r="G9" s="80">
        <f>SUM(H9:K9)</f>
        <v>33055.19</v>
      </c>
      <c r="H9" s="81">
        <f>6932.13+1056.06+275.61</f>
        <v>8263.800000000001</v>
      </c>
      <c r="I9" s="81">
        <f>6757.38+1230.81+137.8+137.81</f>
        <v>8263.800000000001</v>
      </c>
      <c r="J9" s="81">
        <f>6757.38+1230.81+137.8+137.8</f>
        <v>8263.79</v>
      </c>
      <c r="K9" s="81">
        <f>1230.81+137.8+6757.38+137.81</f>
        <v>8263.8</v>
      </c>
      <c r="L9" s="80">
        <f>M9+N9</f>
        <v>16527.6</v>
      </c>
      <c r="M9" s="81">
        <f>7988.19+275.61</f>
        <v>8263.8</v>
      </c>
      <c r="N9" s="81">
        <f>7988.19+275.61</f>
        <v>8263.8</v>
      </c>
      <c r="O9" s="141" t="s">
        <v>76</v>
      </c>
      <c r="P9" s="140"/>
      <c r="Q9" s="81"/>
      <c r="R9" s="142"/>
      <c r="S9" s="143">
        <f>G9+L9-R10</f>
        <v>0</v>
      </c>
    </row>
    <row r="10" spans="1:19" s="76" customFormat="1" ht="12.75" thickBot="1">
      <c r="A10" s="109"/>
      <c r="B10" s="144" t="s">
        <v>23</v>
      </c>
      <c r="C10" s="68">
        <v>3.39</v>
      </c>
      <c r="D10" s="68">
        <v>3.39</v>
      </c>
      <c r="E10" s="97" t="s">
        <v>92</v>
      </c>
      <c r="F10" s="145">
        <f>C3*C10</f>
        <v>8263.803</v>
      </c>
      <c r="G10" s="98"/>
      <c r="H10" s="99"/>
      <c r="I10" s="99"/>
      <c r="J10" s="99"/>
      <c r="K10" s="99">
        <v>0</v>
      </c>
      <c r="L10" s="98"/>
      <c r="M10" s="99"/>
      <c r="N10" s="99">
        <v>0</v>
      </c>
      <c r="O10" s="100"/>
      <c r="P10" s="97" t="s">
        <v>99</v>
      </c>
      <c r="Q10" s="99"/>
      <c r="R10" s="146">
        <v>49582.79</v>
      </c>
      <c r="S10" s="102"/>
    </row>
    <row r="11" spans="1:19" s="76" customFormat="1" ht="12">
      <c r="A11" s="109">
        <v>2</v>
      </c>
      <c r="B11" s="138" t="s">
        <v>24</v>
      </c>
      <c r="C11" s="139"/>
      <c r="D11" s="139"/>
      <c r="E11" s="140"/>
      <c r="F11" s="81"/>
      <c r="G11" s="80">
        <f>SUM(H11:K11)</f>
        <v>44561.200000000004</v>
      </c>
      <c r="H11" s="81">
        <f>9345.09+1423.67+371.54</f>
        <v>11140.300000000001</v>
      </c>
      <c r="I11" s="81">
        <f>9109.51+1659.25+185.77+185.77</f>
        <v>11140.300000000001</v>
      </c>
      <c r="J11" s="81">
        <f>9109.51+185.77+1659.25+185.77</f>
        <v>11140.300000000001</v>
      </c>
      <c r="K11" s="81">
        <f>1659.25+9109.51+185.77+185.77</f>
        <v>11140.300000000001</v>
      </c>
      <c r="L11" s="80">
        <f>SUM(M11:N11)</f>
        <v>22280.6</v>
      </c>
      <c r="M11" s="81">
        <f>10768.76+371.54</f>
        <v>11140.300000000001</v>
      </c>
      <c r="N11" s="81">
        <v>11140.3</v>
      </c>
      <c r="O11" s="141" t="s">
        <v>76</v>
      </c>
      <c r="P11" s="140"/>
      <c r="Q11" s="81"/>
      <c r="R11" s="142"/>
      <c r="S11" s="143">
        <f>G11+L11-R12</f>
        <v>18941.800000000003</v>
      </c>
    </row>
    <row r="12" spans="1:19" s="76" customFormat="1" ht="12.75" thickBot="1">
      <c r="A12" s="109"/>
      <c r="B12" s="144" t="s">
        <v>25</v>
      </c>
      <c r="C12" s="68">
        <v>4.57</v>
      </c>
      <c r="D12" s="68">
        <v>4.57</v>
      </c>
      <c r="E12" s="97" t="s">
        <v>92</v>
      </c>
      <c r="F12" s="145">
        <f>C3*C12</f>
        <v>11140.289</v>
      </c>
      <c r="G12" s="98">
        <f>H12+I12+J12+K12</f>
        <v>0</v>
      </c>
      <c r="H12" s="99">
        <v>0</v>
      </c>
      <c r="I12" s="99">
        <v>0</v>
      </c>
      <c r="J12" s="99">
        <v>0</v>
      </c>
      <c r="K12" s="99">
        <v>0</v>
      </c>
      <c r="L12" s="98">
        <v>0</v>
      </c>
      <c r="M12" s="99"/>
      <c r="N12" s="99">
        <v>0</v>
      </c>
      <c r="O12" s="100"/>
      <c r="P12" s="147" t="s">
        <v>99</v>
      </c>
      <c r="Q12" s="99"/>
      <c r="R12" s="146">
        <f>C32+C33</f>
        <v>47900</v>
      </c>
      <c r="S12" s="102"/>
    </row>
    <row r="13" spans="1:19" s="76" customFormat="1" ht="12">
      <c r="A13" s="109">
        <v>3</v>
      </c>
      <c r="B13" s="61" t="s">
        <v>95</v>
      </c>
      <c r="C13" s="69">
        <v>0.33</v>
      </c>
      <c r="D13" s="69">
        <v>0.33</v>
      </c>
      <c r="E13" s="104" t="s">
        <v>92</v>
      </c>
      <c r="F13" s="105">
        <f>C3*C13</f>
        <v>804.441</v>
      </c>
      <c r="G13" s="106">
        <f>SUM(H13:K13)</f>
        <v>3217.7599999999998</v>
      </c>
      <c r="H13" s="105">
        <f>674.81+102.8+26.83</f>
        <v>804.4399999999999</v>
      </c>
      <c r="I13" s="105">
        <f>657.8+119.81+13.41+13.42</f>
        <v>804.4399999999998</v>
      </c>
      <c r="J13" s="105">
        <f>119.81+657.8+13.41+13.42</f>
        <v>804.4399999999998</v>
      </c>
      <c r="K13" s="105">
        <f>13.41+119.81+657.8+13.42</f>
        <v>804.4399999999999</v>
      </c>
      <c r="L13" s="106">
        <f>SUM(M13:N13)</f>
        <v>1608.88</v>
      </c>
      <c r="M13" s="105">
        <f>777.61+26.83</f>
        <v>804.44</v>
      </c>
      <c r="N13" s="105">
        <v>804.44</v>
      </c>
      <c r="O13" s="107" t="s">
        <v>98</v>
      </c>
      <c r="P13" s="104" t="s">
        <v>107</v>
      </c>
      <c r="Q13" s="105">
        <v>800</v>
      </c>
      <c r="R13" s="108">
        <v>1600</v>
      </c>
      <c r="S13" s="135">
        <f>G13+L13-R13</f>
        <v>3226.6399999999994</v>
      </c>
    </row>
    <row r="14" spans="1:19" s="76" customFormat="1" ht="12">
      <c r="A14" s="109">
        <v>4</v>
      </c>
      <c r="B14" s="62" t="s">
        <v>7</v>
      </c>
      <c r="C14" s="67">
        <v>1.29</v>
      </c>
      <c r="D14" s="67">
        <v>1.29</v>
      </c>
      <c r="E14" s="87" t="s">
        <v>92</v>
      </c>
      <c r="F14" s="110">
        <f>C3*C14</f>
        <v>3144.633</v>
      </c>
      <c r="G14" s="88">
        <f aca="true" t="shared" si="0" ref="G14:G19">SUM(H14:K14)</f>
        <v>12578.52</v>
      </c>
      <c r="H14" s="89">
        <f>2637.9+401.85+104.88</f>
        <v>3144.63</v>
      </c>
      <c r="I14" s="89">
        <f>2571.4+468.35+52.44+52.44</f>
        <v>3144.63</v>
      </c>
      <c r="J14" s="89">
        <f>468.35+2571.4+52.44+52.44</f>
        <v>3144.63</v>
      </c>
      <c r="K14" s="89">
        <f>52.44+468.35+2571.4+52.44</f>
        <v>3144.63</v>
      </c>
      <c r="L14" s="88">
        <f>M14+N14</f>
        <v>6289.26</v>
      </c>
      <c r="M14" s="89">
        <f>3039.75+104.88</f>
        <v>3144.63</v>
      </c>
      <c r="N14" s="89">
        <v>3144.63</v>
      </c>
      <c r="O14" s="94" t="s">
        <v>76</v>
      </c>
      <c r="P14" s="87" t="s">
        <v>100</v>
      </c>
      <c r="Q14" s="89"/>
      <c r="R14" s="111">
        <v>18867.78</v>
      </c>
      <c r="S14" s="134">
        <f>G14+L14-R14</f>
        <v>0</v>
      </c>
    </row>
    <row r="15" spans="1:19" s="76" customFormat="1" ht="12">
      <c r="A15" s="109">
        <v>5</v>
      </c>
      <c r="B15" s="62" t="s">
        <v>9</v>
      </c>
      <c r="C15" s="67">
        <v>1.27</v>
      </c>
      <c r="D15" s="67">
        <v>1.27</v>
      </c>
      <c r="E15" s="87" t="s">
        <v>92</v>
      </c>
      <c r="F15" s="110">
        <f>(C3-92)*C15</f>
        <v>2979.0389999999998</v>
      </c>
      <c r="G15" s="88">
        <f t="shared" si="0"/>
        <v>11916.24</v>
      </c>
      <c r="H15" s="89">
        <f>2480.18+395.63+103.25</f>
        <v>2979.06</v>
      </c>
      <c r="I15" s="89">
        <f>2414.71+461.1+51.63+51.62</f>
        <v>2979.06</v>
      </c>
      <c r="J15" s="89">
        <f>461.1+2414.71+51.63+51.62</f>
        <v>2979.06</v>
      </c>
      <c r="K15" s="89">
        <f>51.63+461.1+2414.71+51.62</f>
        <v>2979.06</v>
      </c>
      <c r="L15" s="88">
        <f>M15+N15</f>
        <v>5958.12</v>
      </c>
      <c r="M15" s="89">
        <f>2875.81+103.25</f>
        <v>2979.06</v>
      </c>
      <c r="N15" s="89">
        <v>2979.06</v>
      </c>
      <c r="O15" s="94" t="s">
        <v>76</v>
      </c>
      <c r="P15" s="87" t="s">
        <v>100</v>
      </c>
      <c r="Q15" s="89"/>
      <c r="R15" s="111">
        <v>17874.36</v>
      </c>
      <c r="S15" s="134">
        <f>G15+L15-R15</f>
        <v>0</v>
      </c>
    </row>
    <row r="16" spans="1:19" s="76" customFormat="1" ht="12">
      <c r="A16" s="109">
        <v>6</v>
      </c>
      <c r="B16" s="62" t="s">
        <v>26</v>
      </c>
      <c r="C16" s="67">
        <v>2.9</v>
      </c>
      <c r="D16" s="67">
        <v>2.9</v>
      </c>
      <c r="E16" s="87" t="s">
        <v>92</v>
      </c>
      <c r="F16" s="110">
        <f>C3*C16</f>
        <v>7069.329999999999</v>
      </c>
      <c r="G16" s="88">
        <f t="shared" si="0"/>
        <v>28277.36</v>
      </c>
      <c r="H16" s="89">
        <f>5930.13+903.44+235.77</f>
        <v>7069.34</v>
      </c>
      <c r="I16" s="89">
        <f>5780.63+1052.94+117.88+117.89</f>
        <v>7069.34</v>
      </c>
      <c r="J16" s="89">
        <f>1052.94+5780.63+117.88+117.89</f>
        <v>7069.34</v>
      </c>
      <c r="K16" s="89">
        <f>1052.94+117.88+5780.63+117.89</f>
        <v>7069.340000000001</v>
      </c>
      <c r="L16" s="88">
        <f>SUM(M16:N16)</f>
        <v>14138.68</v>
      </c>
      <c r="M16" s="89">
        <f>6833.57+235.77</f>
        <v>7069.34</v>
      </c>
      <c r="N16" s="89">
        <v>7069.34</v>
      </c>
      <c r="O16" s="94" t="s">
        <v>114</v>
      </c>
      <c r="P16" s="87" t="s">
        <v>115</v>
      </c>
      <c r="Q16" s="89"/>
      <c r="R16" s="111"/>
      <c r="S16" s="134">
        <f>G16+L16</f>
        <v>42416.04</v>
      </c>
    </row>
    <row r="17" spans="1:19" s="76" customFormat="1" ht="12">
      <c r="A17" s="109">
        <v>7</v>
      </c>
      <c r="B17" s="62" t="s">
        <v>79</v>
      </c>
      <c r="C17" s="67">
        <v>1.93</v>
      </c>
      <c r="D17" s="67">
        <v>1.93</v>
      </c>
      <c r="E17" s="87" t="s">
        <v>113</v>
      </c>
      <c r="F17" s="89">
        <v>3057.52</v>
      </c>
      <c r="G17" s="88">
        <f t="shared" si="0"/>
        <v>9172.56</v>
      </c>
      <c r="H17" s="89">
        <v>0</v>
      </c>
      <c r="I17" s="89">
        <f>2354.09+509.12+97.16+97.15</f>
        <v>3057.52</v>
      </c>
      <c r="J17" s="89">
        <f>509.12+2354.09+97.16+97.15</f>
        <v>3057.52</v>
      </c>
      <c r="K17" s="89">
        <f>97.16+509.12+2354.09+97.15</f>
        <v>3057.52</v>
      </c>
      <c r="L17" s="88">
        <f>SUM(M17:N17)</f>
        <v>4938.12</v>
      </c>
      <c r="M17" s="89">
        <f>2312.15+156.91</f>
        <v>2469.06</v>
      </c>
      <c r="N17" s="89">
        <v>2469.06</v>
      </c>
      <c r="O17" s="94" t="s">
        <v>101</v>
      </c>
      <c r="P17" s="87" t="s">
        <v>108</v>
      </c>
      <c r="Q17" s="89">
        <v>2267.24</v>
      </c>
      <c r="R17" s="111">
        <f>Q17*5</f>
        <v>11336.199999999999</v>
      </c>
      <c r="S17" s="134">
        <f>G17+L17-R17</f>
        <v>2774.4800000000014</v>
      </c>
    </row>
    <row r="18" spans="1:19" s="76" customFormat="1" ht="12">
      <c r="A18" s="109">
        <v>8</v>
      </c>
      <c r="B18" s="62" t="s">
        <v>80</v>
      </c>
      <c r="C18" s="67">
        <v>0.46</v>
      </c>
      <c r="D18" s="67">
        <v>0.46</v>
      </c>
      <c r="E18" s="87" t="s">
        <v>92</v>
      </c>
      <c r="F18" s="89">
        <f>(C3-92)*C18</f>
        <v>1079.022</v>
      </c>
      <c r="G18" s="88">
        <f t="shared" si="0"/>
        <v>2885.12</v>
      </c>
      <c r="H18" s="89">
        <f>749.67+113.52+37.4</f>
        <v>900.5899999999999</v>
      </c>
      <c r="I18" s="89">
        <f>725.96+137.23+18.7+18.7</f>
        <v>900.5900000000001</v>
      </c>
      <c r="J18" s="89">
        <f>-37.4</f>
        <v>-37.4</v>
      </c>
      <c r="K18" s="89">
        <f>18.7+167.04+916.9+18.7</f>
        <v>1121.34</v>
      </c>
      <c r="L18" s="88">
        <f>M18+N18</f>
        <v>2242.6800000000003</v>
      </c>
      <c r="M18" s="89">
        <f>1083.94+37.4</f>
        <v>1121.3400000000001</v>
      </c>
      <c r="N18" s="89">
        <v>1121.34</v>
      </c>
      <c r="O18" s="94" t="s">
        <v>127</v>
      </c>
      <c r="P18" s="87" t="s">
        <v>99</v>
      </c>
      <c r="Q18" s="89"/>
      <c r="R18" s="111">
        <v>5127.8</v>
      </c>
      <c r="S18" s="134">
        <f>G18+L18-R18</f>
        <v>0</v>
      </c>
    </row>
    <row r="19" spans="1:19" s="76" customFormat="1" ht="12">
      <c r="A19" s="109">
        <v>9</v>
      </c>
      <c r="B19" s="63" t="s">
        <v>81</v>
      </c>
      <c r="C19" s="70">
        <v>0.2</v>
      </c>
      <c r="D19" s="70">
        <v>0.2</v>
      </c>
      <c r="E19" s="113" t="s">
        <v>92</v>
      </c>
      <c r="F19" s="114">
        <f>C3*C19</f>
        <v>487.53999999999996</v>
      </c>
      <c r="G19" s="88">
        <f t="shared" si="0"/>
        <v>1950.16</v>
      </c>
      <c r="H19" s="114">
        <f>408.97+62.31+16.26</f>
        <v>487.54</v>
      </c>
      <c r="I19" s="114">
        <f>398.66+72.62+8.12+8.14</f>
        <v>487.54</v>
      </c>
      <c r="J19" s="114">
        <f>72.62+8.12+398.66+8.14</f>
        <v>487.54</v>
      </c>
      <c r="K19" s="114">
        <f>72.62+8.12+398.66+8.14</f>
        <v>487.54</v>
      </c>
      <c r="L19" s="115">
        <f>M19+N19</f>
        <v>975.0799999999999</v>
      </c>
      <c r="M19" s="114">
        <f>471.28+16.26</f>
        <v>487.53999999999996</v>
      </c>
      <c r="N19" s="114">
        <v>487.54</v>
      </c>
      <c r="O19" s="116" t="s">
        <v>76</v>
      </c>
      <c r="P19" s="113" t="s">
        <v>99</v>
      </c>
      <c r="Q19" s="114">
        <v>487.54</v>
      </c>
      <c r="R19" s="117">
        <v>2925.24</v>
      </c>
      <c r="S19" s="136">
        <f>G19+L19-R19</f>
        <v>0</v>
      </c>
    </row>
    <row r="20" spans="1:19" s="76" customFormat="1" ht="12">
      <c r="A20" s="109"/>
      <c r="B20" s="64" t="s">
        <v>82</v>
      </c>
      <c r="C20" s="70"/>
      <c r="D20" s="70"/>
      <c r="E20" s="113"/>
      <c r="F20" s="119">
        <f>F10+F12+F13+F14+F15+F16+F17+F18+F19</f>
        <v>38025.61699999999</v>
      </c>
      <c r="G20" s="119">
        <f>SUM(H20:K20)</f>
        <v>147614.11000000002</v>
      </c>
      <c r="H20" s="119">
        <f>H9+H11+H13+H14+H15+H16+H17+H18+H19</f>
        <v>34789.700000000004</v>
      </c>
      <c r="I20" s="119">
        <f>I9+I11+I13+I14+I15+I16+I17+I18+I19</f>
        <v>37847.22000000001</v>
      </c>
      <c r="J20" s="119">
        <f>J9+J11+J13+J14+J15+J16+J17+J18+J19</f>
        <v>36909.22</v>
      </c>
      <c r="K20" s="119">
        <f>K9+K11+K13+K14+K15+K16+K17+K18+K19</f>
        <v>38067.969999999994</v>
      </c>
      <c r="L20" s="115">
        <f>M20+N20</f>
        <v>74959.01999999999</v>
      </c>
      <c r="M20" s="119">
        <f>M9+M11+M13+M14+M15+M16+M17+M18+M19</f>
        <v>37479.51</v>
      </c>
      <c r="N20" s="119">
        <f>N9+N11+N13+N14+N15+N16+N17+N18+N19</f>
        <v>37479.509999999995</v>
      </c>
      <c r="O20" s="116"/>
      <c r="P20" s="113"/>
      <c r="Q20" s="114"/>
      <c r="R20" s="117"/>
      <c r="S20" s="118"/>
    </row>
    <row r="21" spans="1:19" s="76" customFormat="1" ht="12">
      <c r="A21" s="109">
        <v>10</v>
      </c>
      <c r="B21" s="62" t="s">
        <v>84</v>
      </c>
      <c r="C21" s="67" t="s">
        <v>118</v>
      </c>
      <c r="D21" s="67" t="s">
        <v>119</v>
      </c>
      <c r="E21" s="87" t="s">
        <v>122</v>
      </c>
      <c r="F21" s="89">
        <v>0</v>
      </c>
      <c r="G21" s="88">
        <f>SUM(H21:K21)</f>
        <v>57433.09</v>
      </c>
      <c r="H21" s="89">
        <f>11279.03+1834.58+1199.16</f>
        <v>14312.77</v>
      </c>
      <c r="I21" s="89">
        <f>12414.91+1133.04+372.64+372.64+254+74.54+74.54+50.8</f>
        <v>14747.11</v>
      </c>
      <c r="J21" s="89">
        <f>774.47+11169.56+372.64+372.64+254+74.54+74.54+50.8</f>
        <v>13143.189999999999</v>
      </c>
      <c r="K21" s="89">
        <f>2082.29+372.64+372.64+254+11948.57+74.54+74.54+50.8</f>
        <v>15230.02</v>
      </c>
      <c r="L21" s="88">
        <f>M21+N21</f>
        <v>32797.43</v>
      </c>
      <c r="M21" s="89">
        <f>14552.53+527.82+527.82+359.76</f>
        <v>15967.93</v>
      </c>
      <c r="N21" s="89">
        <f>15414.1+527.82+527.82+359.76</f>
        <v>16829.5</v>
      </c>
      <c r="O21" s="94" t="s">
        <v>102</v>
      </c>
      <c r="P21" s="87" t="s">
        <v>103</v>
      </c>
      <c r="Q21" s="89"/>
      <c r="R21" s="111">
        <f>37804.06+7330.83+10841.68+30444.86</f>
        <v>86421.43</v>
      </c>
      <c r="S21" s="134">
        <f>G21+L21-R21</f>
        <v>3809.0899999999965</v>
      </c>
    </row>
    <row r="22" spans="1:19" s="76" customFormat="1" ht="12">
      <c r="A22" s="109"/>
      <c r="B22" s="62" t="s">
        <v>85</v>
      </c>
      <c r="C22" s="67">
        <v>11.14</v>
      </c>
      <c r="D22" s="67">
        <v>13.15</v>
      </c>
      <c r="E22" s="87" t="s">
        <v>88</v>
      </c>
      <c r="F22" s="110">
        <v>0</v>
      </c>
      <c r="G22" s="88"/>
      <c r="H22" s="89"/>
      <c r="I22" s="89">
        <v>0</v>
      </c>
      <c r="J22" s="89">
        <v>0</v>
      </c>
      <c r="K22" s="89">
        <v>0</v>
      </c>
      <c r="L22" s="88"/>
      <c r="M22" s="89">
        <v>0</v>
      </c>
      <c r="N22" s="89">
        <v>0</v>
      </c>
      <c r="O22" s="94" t="s">
        <v>102</v>
      </c>
      <c r="P22" s="87"/>
      <c r="Q22" s="89"/>
      <c r="R22" s="111"/>
      <c r="S22" s="112"/>
    </row>
    <row r="23" spans="1:19" s="76" customFormat="1" ht="12">
      <c r="A23" s="109"/>
      <c r="B23" s="62" t="s">
        <v>86</v>
      </c>
      <c r="C23" s="67">
        <v>11.14</v>
      </c>
      <c r="D23" s="67">
        <v>13.15</v>
      </c>
      <c r="E23" s="87" t="s">
        <v>88</v>
      </c>
      <c r="F23" s="110">
        <v>0</v>
      </c>
      <c r="G23" s="88"/>
      <c r="H23" s="89"/>
      <c r="I23" s="89">
        <v>0</v>
      </c>
      <c r="J23" s="89">
        <v>0</v>
      </c>
      <c r="K23" s="89">
        <v>0</v>
      </c>
      <c r="L23" s="88"/>
      <c r="M23" s="89">
        <v>0</v>
      </c>
      <c r="N23" s="89">
        <v>0</v>
      </c>
      <c r="O23" s="94" t="s">
        <v>102</v>
      </c>
      <c r="P23" s="87"/>
      <c r="Q23" s="89"/>
      <c r="R23" s="111"/>
      <c r="S23" s="112"/>
    </row>
    <row r="24" spans="1:19" s="76" customFormat="1" ht="11.25">
      <c r="A24" s="109">
        <v>11</v>
      </c>
      <c r="B24" s="62" t="s">
        <v>87</v>
      </c>
      <c r="C24" s="67" t="s">
        <v>120</v>
      </c>
      <c r="D24" s="67" t="s">
        <v>121</v>
      </c>
      <c r="E24" s="87" t="s">
        <v>122</v>
      </c>
      <c r="F24" s="110">
        <v>0</v>
      </c>
      <c r="G24" s="88">
        <f>SUM(H24:K24)</f>
        <v>57673.83</v>
      </c>
      <c r="H24" s="89">
        <f>11946.17+2007.02+1306.14</f>
        <v>15259.33</v>
      </c>
      <c r="I24" s="89">
        <f>10953.49+1136.22+1044.6+217.7</f>
        <v>13352.01</v>
      </c>
      <c r="J24" s="89">
        <f>730.32+11850.45+1010.9+222.94</f>
        <v>13814.61</v>
      </c>
      <c r="K24" s="89">
        <f>2248.58+1088.44+11693.16+217.7</f>
        <v>15247.880000000001</v>
      </c>
      <c r="L24" s="88">
        <f>M24+N24</f>
        <v>35266</v>
      </c>
      <c r="M24" s="89">
        <f>15715.11+1528.32</f>
        <v>17243.43</v>
      </c>
      <c r="N24" s="89">
        <f>16494.25+1528.32</f>
        <v>18022.57</v>
      </c>
      <c r="O24" s="94" t="s">
        <v>104</v>
      </c>
      <c r="P24" s="87" t="s">
        <v>105</v>
      </c>
      <c r="Q24" s="89" t="s">
        <v>126</v>
      </c>
      <c r="R24" s="111">
        <v>240950.71</v>
      </c>
      <c r="S24" s="134">
        <f>G24+G25+L24+L25-R24</f>
        <v>59450.840000000055</v>
      </c>
    </row>
    <row r="25" spans="1:19" s="76" customFormat="1" ht="11.25">
      <c r="A25" s="109">
        <v>12</v>
      </c>
      <c r="B25" s="62" t="s">
        <v>13</v>
      </c>
      <c r="C25" s="67">
        <v>13.29</v>
      </c>
      <c r="D25" s="67">
        <v>16.85</v>
      </c>
      <c r="E25" s="87" t="s">
        <v>92</v>
      </c>
      <c r="F25" s="110">
        <f>D25*C3</f>
        <v>41075.245</v>
      </c>
      <c r="G25" s="88">
        <f>SUM(H25:K25)</f>
        <v>125311.08</v>
      </c>
      <c r="H25" s="89">
        <f>27519.24+3671.01+1080.48</f>
        <v>32270.73</v>
      </c>
      <c r="I25" s="89">
        <f>24907.26+4356.11+795.96+222.94</f>
        <v>30282.269999999997</v>
      </c>
      <c r="J25" s="89">
        <f>4356.11+25157.89+750.41+222.94</f>
        <v>30487.35</v>
      </c>
      <c r="K25" s="89">
        <f>4356.11+857.54+26834.14+222.94</f>
        <v>32270.73</v>
      </c>
      <c r="L25" s="88">
        <f>M25+N25</f>
        <v>82150.64000000001</v>
      </c>
      <c r="M25" s="89">
        <f>39705.41+1369.91</f>
        <v>41075.32000000001</v>
      </c>
      <c r="N25" s="89">
        <f>39705.41+1369.91</f>
        <v>41075.32000000001</v>
      </c>
      <c r="O25" s="94" t="s">
        <v>104</v>
      </c>
      <c r="P25" s="87" t="s">
        <v>105</v>
      </c>
      <c r="Q25" s="89"/>
      <c r="R25" s="111"/>
      <c r="S25" s="112"/>
    </row>
    <row r="26" spans="1:19" s="76" customFormat="1" ht="11.25">
      <c r="A26" s="109">
        <v>13</v>
      </c>
      <c r="B26" s="62" t="s">
        <v>14</v>
      </c>
      <c r="C26" s="67">
        <v>28.08</v>
      </c>
      <c r="D26" s="67">
        <v>31.14</v>
      </c>
      <c r="E26" s="87" t="s">
        <v>116</v>
      </c>
      <c r="F26" s="89">
        <v>2416.06</v>
      </c>
      <c r="G26" s="88">
        <f>SUM(H26:K26)</f>
        <v>8357.23</v>
      </c>
      <c r="H26" s="89">
        <f>1668.34+269.18+28.08</f>
        <v>1965.6</v>
      </c>
      <c r="I26" s="89">
        <f>1755+189.64+140.4+28.08</f>
        <v>2113.12</v>
      </c>
      <c r="J26" s="89">
        <f>136.71+1755+140.4+28.08</f>
        <v>2060.19</v>
      </c>
      <c r="K26" s="89">
        <f>294.84+140.4+1755+28.08</f>
        <v>2218.3199999999997</v>
      </c>
      <c r="L26" s="88">
        <f>M26+N26</f>
        <v>4920.12</v>
      </c>
      <c r="M26" s="89">
        <f>2273.22+186.84</f>
        <v>2460.06</v>
      </c>
      <c r="N26" s="89">
        <f>2273.22+186.84</f>
        <v>2460.06</v>
      </c>
      <c r="O26" s="94" t="s">
        <v>106</v>
      </c>
      <c r="P26" s="87"/>
      <c r="Q26" s="89"/>
      <c r="R26" s="111">
        <v>6344.59</v>
      </c>
      <c r="S26" s="134">
        <f>G26+L26-R26</f>
        <v>6932.759999999998</v>
      </c>
    </row>
    <row r="27" spans="1:19" s="76" customFormat="1" ht="12" thickBot="1">
      <c r="A27" s="109">
        <v>14</v>
      </c>
      <c r="B27" s="62" t="s">
        <v>83</v>
      </c>
      <c r="C27" s="67">
        <v>0</v>
      </c>
      <c r="D27" s="67">
        <v>0</v>
      </c>
      <c r="E27" s="87" t="s">
        <v>92</v>
      </c>
      <c r="F27" s="89">
        <v>0</v>
      </c>
      <c r="G27" s="88"/>
      <c r="H27" s="89">
        <v>0</v>
      </c>
      <c r="I27" s="89">
        <v>0</v>
      </c>
      <c r="J27" s="89">
        <v>0</v>
      </c>
      <c r="K27" s="89">
        <v>0</v>
      </c>
      <c r="L27" s="88"/>
      <c r="M27" s="89">
        <v>0</v>
      </c>
      <c r="N27" s="89">
        <v>0</v>
      </c>
      <c r="O27" s="94"/>
      <c r="P27" s="87"/>
      <c r="Q27" s="89"/>
      <c r="R27" s="111"/>
      <c r="S27" s="134">
        <f>G27+L27-R27</f>
        <v>0</v>
      </c>
    </row>
    <row r="28" spans="1:19" s="76" customFormat="1" ht="12" thickBot="1">
      <c r="A28" s="109"/>
      <c r="B28" s="120" t="s">
        <v>77</v>
      </c>
      <c r="C28" s="121"/>
      <c r="D28" s="121" t="s">
        <v>93</v>
      </c>
      <c r="E28" s="122"/>
      <c r="F28" s="123"/>
      <c r="G28" s="123">
        <f>G20+G21+G24+G25+G26+G27</f>
        <v>396389.34</v>
      </c>
      <c r="H28" s="124">
        <f>H20+H21+H24+H25+H26</f>
        <v>98598.13</v>
      </c>
      <c r="I28" s="124">
        <f>I20+I21+I24+I25+I26</f>
        <v>98341.73000000001</v>
      </c>
      <c r="J28" s="124">
        <f>J20+J21+J24+J25+J26</f>
        <v>96414.56</v>
      </c>
      <c r="K28" s="124">
        <f>K20+K21+K24+K25+K26</f>
        <v>103034.91999999998</v>
      </c>
      <c r="L28" s="123">
        <f>L20+L21+L24+L25+L26</f>
        <v>230093.21</v>
      </c>
      <c r="M28" s="124">
        <f>SUM(M21:M27)+M20</f>
        <v>114226.25</v>
      </c>
      <c r="N28" s="124">
        <f>SUM(N21:N27)+N20</f>
        <v>115866.96</v>
      </c>
      <c r="O28" s="125"/>
      <c r="P28" s="122"/>
      <c r="Q28" s="124"/>
      <c r="R28" s="126">
        <f>SUM(R9:R27)</f>
        <v>488930.89999999997</v>
      </c>
      <c r="S28" s="137">
        <f>S9+S11+S13+S14+S15+S16+S17+S18+S19+S21+S24+S26+S27</f>
        <v>137551.65000000005</v>
      </c>
    </row>
    <row r="29" spans="1:19" s="76" customFormat="1" ht="12" thickBot="1">
      <c r="A29" s="128"/>
      <c r="B29" s="129"/>
      <c r="C29" s="121"/>
      <c r="D29" s="121"/>
      <c r="E29" s="130"/>
      <c r="F29" s="124"/>
      <c r="G29" s="123"/>
      <c r="H29" s="124"/>
      <c r="I29" s="124"/>
      <c r="J29" s="124"/>
      <c r="K29" s="124"/>
      <c r="L29" s="122"/>
      <c r="M29" s="124"/>
      <c r="N29" s="124"/>
      <c r="O29" s="131"/>
      <c r="P29" s="122"/>
      <c r="Q29" s="124"/>
      <c r="R29" s="132"/>
      <c r="S29" s="127"/>
    </row>
    <row r="30" spans="1:19" s="76" customFormat="1" ht="11.25">
      <c r="A30" s="91" t="s">
        <v>94</v>
      </c>
      <c r="B30" s="104"/>
      <c r="C30" s="105"/>
      <c r="D30" s="105"/>
      <c r="E30" s="104"/>
      <c r="F30" s="106" t="s">
        <v>96</v>
      </c>
      <c r="G30" s="106"/>
      <c r="H30" s="105"/>
      <c r="I30" s="105"/>
      <c r="J30" s="105"/>
      <c r="K30" s="105"/>
      <c r="L30" s="104"/>
      <c r="M30" s="105"/>
      <c r="N30" s="105"/>
      <c r="O30" s="104"/>
      <c r="P30" s="104"/>
      <c r="Q30" s="105"/>
      <c r="R30" s="106" t="s">
        <v>78</v>
      </c>
      <c r="S30" s="104"/>
    </row>
    <row r="31" ht="12.75">
      <c r="B31" s="148" t="s">
        <v>128</v>
      </c>
    </row>
    <row r="32" spans="2:3" ht="12.75">
      <c r="B32" s="151" t="s">
        <v>129</v>
      </c>
      <c r="C32" s="149">
        <v>28500</v>
      </c>
    </row>
    <row r="33" spans="2:3" ht="12.75">
      <c r="B33" s="151" t="s">
        <v>130</v>
      </c>
      <c r="C33" s="150">
        <v>19400</v>
      </c>
    </row>
    <row r="34" ht="12.75">
      <c r="B34" s="152" t="s">
        <v>131</v>
      </c>
    </row>
    <row r="35" ht="12.75">
      <c r="B35" s="148" t="s">
        <v>132</v>
      </c>
    </row>
    <row r="36" spans="2:5" ht="12.75">
      <c r="B36" s="153" t="s">
        <v>133</v>
      </c>
      <c r="C36" s="154" t="s">
        <v>134</v>
      </c>
      <c r="D36" s="155"/>
      <c r="E36" s="156"/>
    </row>
    <row r="37" spans="3:5" ht="12.75">
      <c r="C37" s="157" t="s">
        <v>135</v>
      </c>
      <c r="D37" s="158"/>
      <c r="E37" s="159"/>
    </row>
    <row r="38" spans="3:5" ht="12.75">
      <c r="C38" s="157" t="s">
        <v>136</v>
      </c>
      <c r="D38" s="158"/>
      <c r="E38" s="159"/>
    </row>
    <row r="39" spans="3:5" ht="12.75">
      <c r="C39" s="157" t="s">
        <v>137</v>
      </c>
      <c r="D39" s="158"/>
      <c r="E39" s="159"/>
    </row>
    <row r="40" spans="3:5" ht="12.75">
      <c r="C40" s="157" t="s">
        <v>138</v>
      </c>
      <c r="D40" s="158"/>
      <c r="E40" s="159"/>
    </row>
    <row r="41" spans="3:5" ht="12.75">
      <c r="C41" s="160" t="s">
        <v>139</v>
      </c>
      <c r="D41" s="161"/>
      <c r="E41" s="162"/>
    </row>
    <row r="42" spans="2:5" ht="12.75">
      <c r="B42" s="165" t="s">
        <v>140</v>
      </c>
      <c r="C42" s="168" t="s">
        <v>143</v>
      </c>
      <c r="D42" s="168"/>
      <c r="E42" s="165">
        <v>450.4</v>
      </c>
    </row>
    <row r="43" spans="3:6" ht="13.5" thickBot="1">
      <c r="C43" s="53" t="s">
        <v>2</v>
      </c>
      <c r="D43" s="53" t="s">
        <v>34</v>
      </c>
      <c r="F43" s="53" t="s">
        <v>144</v>
      </c>
    </row>
    <row r="44" spans="2:6" ht="12.75">
      <c r="B44" s="163" t="s">
        <v>22</v>
      </c>
      <c r="C44" s="170">
        <v>3.39</v>
      </c>
      <c r="D44" s="171">
        <f>C44*E42</f>
        <v>1526.856</v>
      </c>
      <c r="E44" s="172"/>
      <c r="F44" s="173">
        <f>D44*6</f>
        <v>9161.136</v>
      </c>
    </row>
    <row r="45" spans="2:6" ht="13.5" thickBot="1">
      <c r="B45" s="164" t="s">
        <v>23</v>
      </c>
      <c r="C45" s="174"/>
      <c r="D45" s="175"/>
      <c r="E45" s="176"/>
      <c r="F45" s="177"/>
    </row>
    <row r="46" spans="2:6" ht="12.75">
      <c r="B46" s="163" t="s">
        <v>24</v>
      </c>
      <c r="C46" s="170">
        <v>4.57</v>
      </c>
      <c r="D46" s="171">
        <f>C46*E42</f>
        <v>2058.328</v>
      </c>
      <c r="E46" s="172"/>
      <c r="F46" s="173">
        <f>D46*6</f>
        <v>12349.968</v>
      </c>
    </row>
    <row r="47" spans="2:6" ht="13.5" thickBot="1">
      <c r="B47" s="164" t="s">
        <v>25</v>
      </c>
      <c r="C47" s="174"/>
      <c r="D47" s="175"/>
      <c r="E47" s="176"/>
      <c r="F47" s="177"/>
    </row>
    <row r="48" spans="2:6" ht="13.5" thickBot="1">
      <c r="B48" s="178" t="s">
        <v>7</v>
      </c>
      <c r="C48" s="179">
        <v>1.29</v>
      </c>
      <c r="D48" s="180">
        <f>C48*E42</f>
        <v>581.016</v>
      </c>
      <c r="E48" s="181"/>
      <c r="F48" s="182">
        <f>D48*6</f>
        <v>3486.0959999999995</v>
      </c>
    </row>
    <row r="49" spans="2:6" ht="13.5" thickBot="1">
      <c r="B49" s="178" t="s">
        <v>81</v>
      </c>
      <c r="C49" s="179">
        <v>0.2</v>
      </c>
      <c r="D49" s="180">
        <f>C49*E42</f>
        <v>90.08</v>
      </c>
      <c r="E49" s="181"/>
      <c r="F49" s="182">
        <f>D49*6</f>
        <v>540.48</v>
      </c>
    </row>
    <row r="50" spans="2:18" s="167" customFormat="1" ht="13.5" thickBot="1">
      <c r="B50" s="183" t="s">
        <v>82</v>
      </c>
      <c r="C50" s="166"/>
      <c r="D50" s="184">
        <f>D44+D46+D48+D49</f>
        <v>4256.28</v>
      </c>
      <c r="E50" s="185"/>
      <c r="F50" s="186">
        <f>F44+F46+F48+F49</f>
        <v>25537.679999999997</v>
      </c>
      <c r="G50" s="166"/>
      <c r="H50" s="169"/>
      <c r="I50" s="169"/>
      <c r="J50" s="169"/>
      <c r="K50" s="169"/>
      <c r="M50" s="166"/>
      <c r="N50" s="166"/>
      <c r="Q50" s="166"/>
      <c r="R50" s="166"/>
    </row>
    <row r="51" spans="2:6" ht="13.5" thickBot="1">
      <c r="B51" s="178" t="s">
        <v>13</v>
      </c>
      <c r="C51" s="187" t="s">
        <v>141</v>
      </c>
      <c r="D51" s="188" t="s">
        <v>142</v>
      </c>
      <c r="E51" s="189"/>
      <c r="F51" s="190">
        <f>9746.66*4+10719.52*2</f>
        <v>60425.68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75" zoomScaleNormal="75" zoomScalePageLayoutView="0" workbookViewId="0" topLeftCell="A1">
      <selection activeCell="M21" sqref="M21"/>
    </sheetView>
  </sheetViews>
  <sheetFormatPr defaultColWidth="9.00390625" defaultRowHeight="12.75"/>
  <cols>
    <col min="1" max="1" width="8.75390625" style="328" customWidth="1"/>
    <col min="2" max="2" width="41.625" style="333" customWidth="1"/>
    <col min="3" max="3" width="14.00390625" style="225" customWidth="1"/>
    <col min="4" max="4" width="14.625" style="225" customWidth="1"/>
    <col min="5" max="5" width="19.00390625" style="330" customWidth="1"/>
    <col min="6" max="6" width="16.875" style="331" customWidth="1"/>
    <col min="7" max="7" width="17.125" style="330" customWidth="1"/>
    <col min="8" max="9" width="15.375" style="330" customWidth="1"/>
    <col min="10" max="11" width="17.375" style="332" customWidth="1"/>
    <col min="12" max="12" width="24.375" style="333" customWidth="1"/>
    <col min="13" max="13" width="13.875" style="334" customWidth="1"/>
    <col min="14" max="14" width="17.25390625" style="216" hidden="1" customWidth="1"/>
    <col min="15" max="15" width="11.00390625" style="200" hidden="1" customWidth="1"/>
    <col min="16" max="16384" width="9.125" style="200" customWidth="1"/>
  </cols>
  <sheetData>
    <row r="1" spans="1:15" s="199" customFormat="1" ht="27.75" customHeight="1" thickBot="1">
      <c r="A1" s="302"/>
      <c r="B1" s="340" t="s">
        <v>294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242"/>
      <c r="O1" s="241"/>
    </row>
    <row r="2" spans="1:15" s="223" customFormat="1" ht="21" customHeight="1">
      <c r="A2" s="303" t="s">
        <v>30</v>
      </c>
      <c r="B2" s="304" t="s">
        <v>1</v>
      </c>
      <c r="C2" s="244" t="s">
        <v>153</v>
      </c>
      <c r="D2" s="244" t="s">
        <v>151</v>
      </c>
      <c r="E2" s="244" t="s">
        <v>154</v>
      </c>
      <c r="F2" s="244" t="s">
        <v>153</v>
      </c>
      <c r="G2" s="244" t="s">
        <v>151</v>
      </c>
      <c r="H2" s="244" t="s">
        <v>154</v>
      </c>
      <c r="I2" s="244" t="s">
        <v>153</v>
      </c>
      <c r="J2" s="244" t="s">
        <v>158</v>
      </c>
      <c r="K2" s="244" t="s">
        <v>252</v>
      </c>
      <c r="L2" s="303" t="s">
        <v>60</v>
      </c>
      <c r="M2" s="305" t="s">
        <v>109</v>
      </c>
      <c r="N2" s="248" t="s">
        <v>154</v>
      </c>
      <c r="O2" s="241"/>
    </row>
    <row r="3" spans="1:15" s="223" customFormat="1" ht="21" customHeight="1">
      <c r="A3" s="303" t="s">
        <v>31</v>
      </c>
      <c r="B3" s="306"/>
      <c r="C3" s="244" t="s">
        <v>148</v>
      </c>
      <c r="D3" s="244" t="s">
        <v>148</v>
      </c>
      <c r="E3" s="244" t="s">
        <v>148</v>
      </c>
      <c r="F3" s="244" t="s">
        <v>140</v>
      </c>
      <c r="G3" s="244" t="s">
        <v>140</v>
      </c>
      <c r="H3" s="244" t="s">
        <v>140</v>
      </c>
      <c r="I3" s="244" t="s">
        <v>148</v>
      </c>
      <c r="J3" s="244" t="s">
        <v>151</v>
      </c>
      <c r="K3" s="244" t="s">
        <v>154</v>
      </c>
      <c r="L3" s="303" t="s">
        <v>64</v>
      </c>
      <c r="M3" s="305" t="s">
        <v>110</v>
      </c>
      <c r="N3" s="250" t="s">
        <v>155</v>
      </c>
      <c r="O3" s="241"/>
    </row>
    <row r="4" spans="1:15" s="223" customFormat="1" ht="15">
      <c r="A4" s="303"/>
      <c r="B4" s="306"/>
      <c r="C4" s="244" t="s">
        <v>156</v>
      </c>
      <c r="D4" s="244" t="s">
        <v>156</v>
      </c>
      <c r="E4" s="244" t="s">
        <v>156</v>
      </c>
      <c r="F4" s="244" t="s">
        <v>156</v>
      </c>
      <c r="G4" s="244" t="s">
        <v>156</v>
      </c>
      <c r="H4" s="244" t="s">
        <v>156</v>
      </c>
      <c r="I4" s="244" t="s">
        <v>156</v>
      </c>
      <c r="J4" s="244" t="s">
        <v>156</v>
      </c>
      <c r="K4" s="244" t="s">
        <v>156</v>
      </c>
      <c r="L4" s="306" t="s">
        <v>125</v>
      </c>
      <c r="M4" s="305" t="s">
        <v>111</v>
      </c>
      <c r="N4" s="251"/>
      <c r="O4" s="241"/>
    </row>
    <row r="5" spans="1:15" s="223" customFormat="1" ht="15.75" thickBot="1">
      <c r="A5" s="303"/>
      <c r="B5" s="306"/>
      <c r="C5" s="244"/>
      <c r="D5" s="244"/>
      <c r="E5" s="244"/>
      <c r="F5" s="244"/>
      <c r="G5" s="307"/>
      <c r="H5" s="244"/>
      <c r="I5" s="244"/>
      <c r="J5" s="308"/>
      <c r="K5" s="308"/>
      <c r="L5" s="306"/>
      <c r="M5" s="305" t="s">
        <v>157</v>
      </c>
      <c r="N5" s="254"/>
      <c r="O5" s="241"/>
    </row>
    <row r="6" spans="1:15" s="223" customFormat="1" ht="29.25" customHeight="1" hidden="1" thickBot="1">
      <c r="A6" s="341" t="s">
        <v>272</v>
      </c>
      <c r="B6" s="342"/>
      <c r="C6" s="295">
        <v>687587.95</v>
      </c>
      <c r="D6" s="295">
        <v>553570.98</v>
      </c>
      <c r="E6" s="307" t="e">
        <f>C6-D6+#REF!</f>
        <v>#REF!</v>
      </c>
      <c r="F6" s="295"/>
      <c r="G6" s="309"/>
      <c r="H6" s="309">
        <f>F6-G6</f>
        <v>0</v>
      </c>
      <c r="I6" s="295">
        <v>687587.95</v>
      </c>
      <c r="J6" s="309">
        <f>D6+G6</f>
        <v>553570.98</v>
      </c>
      <c r="K6" s="309" t="e">
        <f>H6+E6</f>
        <v>#REF!</v>
      </c>
      <c r="L6" s="310" t="s">
        <v>264</v>
      </c>
      <c r="M6" s="311">
        <f>C6+F6</f>
        <v>687587.95</v>
      </c>
      <c r="N6" s="259"/>
      <c r="O6" s="241"/>
    </row>
    <row r="7" spans="1:15" s="223" customFormat="1" ht="35.25" customHeight="1" thickBot="1">
      <c r="A7" s="312">
        <v>1</v>
      </c>
      <c r="B7" s="310" t="s">
        <v>287</v>
      </c>
      <c r="C7" s="295">
        <v>29047.13</v>
      </c>
      <c r="D7" s="295">
        <v>27765.48</v>
      </c>
      <c r="E7" s="307">
        <f>C7-D7</f>
        <v>1281.6500000000015</v>
      </c>
      <c r="F7" s="295">
        <v>0</v>
      </c>
      <c r="G7" s="295">
        <f>F7</f>
        <v>0</v>
      </c>
      <c r="H7" s="295">
        <f>F7-G7</f>
        <v>0</v>
      </c>
      <c r="I7" s="295">
        <f>C7+F7</f>
        <v>29047.13</v>
      </c>
      <c r="J7" s="309">
        <f>D7+G7</f>
        <v>27765.48</v>
      </c>
      <c r="K7" s="309">
        <f>H7+E7</f>
        <v>1281.6500000000015</v>
      </c>
      <c r="L7" s="368" t="s">
        <v>288</v>
      </c>
      <c r="M7" s="311">
        <f>C7+F7</f>
        <v>29047.13</v>
      </c>
      <c r="N7" s="259"/>
      <c r="O7" s="241"/>
    </row>
    <row r="8" spans="1:15" s="223" customFormat="1" ht="35.25" customHeight="1">
      <c r="A8" s="312">
        <v>1</v>
      </c>
      <c r="B8" s="310" t="s">
        <v>271</v>
      </c>
      <c r="C8" s="295">
        <v>663927.66</v>
      </c>
      <c r="D8" s="295">
        <v>631092.83</v>
      </c>
      <c r="E8" s="307">
        <f aca="true" t="shared" si="0" ref="E8:E19">C8-D8</f>
        <v>32834.830000000075</v>
      </c>
      <c r="F8" s="295">
        <v>127510.23</v>
      </c>
      <c r="G8" s="295">
        <v>106258.52</v>
      </c>
      <c r="H8" s="295">
        <f aca="true" t="shared" si="1" ref="H8:H19">F8-G8</f>
        <v>21251.709999999992</v>
      </c>
      <c r="I8" s="295">
        <f aca="true" t="shared" si="2" ref="I8:I19">C8+F8</f>
        <v>791437.89</v>
      </c>
      <c r="J8" s="309">
        <f>D8+G8</f>
        <v>737351.35</v>
      </c>
      <c r="K8" s="309">
        <f>H8+E8</f>
        <v>54086.540000000066</v>
      </c>
      <c r="L8" s="368" t="s">
        <v>296</v>
      </c>
      <c r="M8" s="311">
        <f aca="true" t="shared" si="3" ref="M8:M19">C8+F8</f>
        <v>791437.89</v>
      </c>
      <c r="N8" s="259"/>
      <c r="O8" s="241"/>
    </row>
    <row r="9" spans="1:15" s="223" customFormat="1" ht="41.25" customHeight="1" thickBot="1">
      <c r="A9" s="303">
        <v>2</v>
      </c>
      <c r="B9" s="313" t="s">
        <v>149</v>
      </c>
      <c r="C9" s="294">
        <v>40199.64</v>
      </c>
      <c r="D9" s="294">
        <v>40068.28</v>
      </c>
      <c r="E9" s="307">
        <f t="shared" si="0"/>
        <v>131.36000000000058</v>
      </c>
      <c r="F9" s="294">
        <f>0</f>
        <v>0</v>
      </c>
      <c r="G9" s="307">
        <v>0</v>
      </c>
      <c r="H9" s="295">
        <f t="shared" si="1"/>
        <v>0</v>
      </c>
      <c r="I9" s="295">
        <f t="shared" si="2"/>
        <v>40199.64</v>
      </c>
      <c r="J9" s="307">
        <f>D9+G9</f>
        <v>40068.28</v>
      </c>
      <c r="K9" s="307">
        <f>E9+H9</f>
        <v>131.36000000000058</v>
      </c>
      <c r="L9" s="369" t="s">
        <v>159</v>
      </c>
      <c r="M9" s="311">
        <f t="shared" si="3"/>
        <v>40199.64</v>
      </c>
      <c r="N9" s="263">
        <f>M9-D9</f>
        <v>131.36000000000058</v>
      </c>
      <c r="O9" s="241"/>
    </row>
    <row r="10" spans="1:15" s="223" customFormat="1" ht="18" customHeight="1" thickBot="1">
      <c r="A10" s="312">
        <v>3</v>
      </c>
      <c r="B10" s="315" t="s">
        <v>265</v>
      </c>
      <c r="C10" s="294">
        <v>349627.68</v>
      </c>
      <c r="D10" s="294">
        <v>342632.84</v>
      </c>
      <c r="E10" s="307">
        <f t="shared" si="0"/>
        <v>6994.839999999967</v>
      </c>
      <c r="F10" s="294">
        <v>71670.81</v>
      </c>
      <c r="G10" s="307">
        <v>65698.24</v>
      </c>
      <c r="H10" s="295">
        <f t="shared" si="1"/>
        <v>5972.569999999992</v>
      </c>
      <c r="I10" s="295">
        <f t="shared" si="2"/>
        <v>421298.49</v>
      </c>
      <c r="J10" s="309">
        <f>D10+G10</f>
        <v>408331.08</v>
      </c>
      <c r="K10" s="309">
        <f>E10+H10</f>
        <v>12967.40999999996</v>
      </c>
      <c r="L10" s="368" t="s">
        <v>159</v>
      </c>
      <c r="M10" s="311">
        <f t="shared" si="3"/>
        <v>421298.49</v>
      </c>
      <c r="N10" s="266"/>
      <c r="O10" s="241"/>
    </row>
    <row r="11" spans="1:15" s="223" customFormat="1" ht="36.75" customHeight="1">
      <c r="A11" s="312">
        <v>4</v>
      </c>
      <c r="B11" s="316" t="s">
        <v>266</v>
      </c>
      <c r="C11" s="294">
        <v>97359.74</v>
      </c>
      <c r="D11" s="294">
        <v>95674.76</v>
      </c>
      <c r="E11" s="307">
        <f t="shared" si="0"/>
        <v>1684.9800000000105</v>
      </c>
      <c r="F11" s="294">
        <v>18654.04</v>
      </c>
      <c r="G11" s="307">
        <v>17099.5</v>
      </c>
      <c r="H11" s="295">
        <f t="shared" si="1"/>
        <v>1554.5400000000009</v>
      </c>
      <c r="I11" s="295">
        <f t="shared" si="2"/>
        <v>116013.78</v>
      </c>
      <c r="J11" s="307">
        <f aca="true" t="shared" si="4" ref="J11:K17">D11+G11</f>
        <v>112774.26</v>
      </c>
      <c r="K11" s="307">
        <f t="shared" si="4"/>
        <v>3239.5200000000114</v>
      </c>
      <c r="L11" s="370" t="s">
        <v>159</v>
      </c>
      <c r="M11" s="311">
        <f t="shared" si="3"/>
        <v>116013.78</v>
      </c>
      <c r="N11" s="266">
        <f>M11-D11</f>
        <v>20339.020000000004</v>
      </c>
      <c r="O11" s="241"/>
    </row>
    <row r="12" spans="1:15" s="223" customFormat="1" ht="32.25" customHeight="1">
      <c r="A12" s="317">
        <v>5</v>
      </c>
      <c r="B12" s="316" t="s">
        <v>263</v>
      </c>
      <c r="C12" s="294">
        <v>15749.02</v>
      </c>
      <c r="D12" s="294">
        <v>15120.91</v>
      </c>
      <c r="E12" s="307">
        <f t="shared" si="0"/>
        <v>628.1100000000006</v>
      </c>
      <c r="F12" s="294">
        <v>0</v>
      </c>
      <c r="G12" s="307">
        <v>0</v>
      </c>
      <c r="H12" s="295">
        <f t="shared" si="1"/>
        <v>0</v>
      </c>
      <c r="I12" s="295">
        <f t="shared" si="2"/>
        <v>15749.02</v>
      </c>
      <c r="J12" s="307">
        <f t="shared" si="4"/>
        <v>15120.91</v>
      </c>
      <c r="K12" s="307">
        <f t="shared" si="4"/>
        <v>628.1100000000006</v>
      </c>
      <c r="L12" s="370" t="s">
        <v>150</v>
      </c>
      <c r="M12" s="311">
        <v>13200</v>
      </c>
      <c r="N12" s="251">
        <f>M12-D12</f>
        <v>-1920.9099999999999</v>
      </c>
      <c r="O12" s="241"/>
    </row>
    <row r="13" spans="1:14" s="293" customFormat="1" ht="30.75" customHeight="1">
      <c r="A13" s="303">
        <v>7</v>
      </c>
      <c r="B13" s="316" t="s">
        <v>280</v>
      </c>
      <c r="C13" s="294">
        <v>282354.19</v>
      </c>
      <c r="D13" s="294">
        <v>278908.5</v>
      </c>
      <c r="E13" s="307">
        <f t="shared" si="0"/>
        <v>3445.6900000000023</v>
      </c>
      <c r="F13" s="295">
        <v>0</v>
      </c>
      <c r="G13" s="294">
        <v>0</v>
      </c>
      <c r="H13" s="295">
        <f t="shared" si="1"/>
        <v>0</v>
      </c>
      <c r="I13" s="295">
        <f t="shared" si="2"/>
        <v>282354.19</v>
      </c>
      <c r="J13" s="296">
        <v>0</v>
      </c>
      <c r="K13" s="298">
        <f>E13</f>
        <v>3445.6900000000023</v>
      </c>
      <c r="L13" s="369" t="s">
        <v>279</v>
      </c>
      <c r="M13" s="311">
        <f t="shared" si="3"/>
        <v>282354.19</v>
      </c>
      <c r="N13" s="241"/>
    </row>
    <row r="14" spans="1:15" s="223" customFormat="1" ht="30.75" customHeight="1">
      <c r="A14" s="312">
        <v>6</v>
      </c>
      <c r="B14" s="316" t="s">
        <v>267</v>
      </c>
      <c r="C14" s="294">
        <v>39807.58</v>
      </c>
      <c r="D14" s="294">
        <v>38888.31</v>
      </c>
      <c r="E14" s="307">
        <f t="shared" si="0"/>
        <v>919.2700000000041</v>
      </c>
      <c r="F14" s="294">
        <v>0</v>
      </c>
      <c r="G14" s="307">
        <v>0</v>
      </c>
      <c r="H14" s="295">
        <f t="shared" si="1"/>
        <v>0</v>
      </c>
      <c r="I14" s="295">
        <f t="shared" si="2"/>
        <v>39807.58</v>
      </c>
      <c r="J14" s="307">
        <f t="shared" si="4"/>
        <v>38888.31</v>
      </c>
      <c r="K14" s="307">
        <f t="shared" si="4"/>
        <v>919.2700000000041</v>
      </c>
      <c r="L14" s="370" t="s">
        <v>152</v>
      </c>
      <c r="M14" s="311">
        <v>47336.64</v>
      </c>
      <c r="N14" s="251">
        <f>M14-D14</f>
        <v>8448.330000000002</v>
      </c>
      <c r="O14" s="241"/>
    </row>
    <row r="15" spans="1:15" s="223" customFormat="1" ht="30.75" customHeight="1">
      <c r="A15" s="312">
        <v>6</v>
      </c>
      <c r="B15" s="316" t="s">
        <v>289</v>
      </c>
      <c r="C15" s="294">
        <v>44620.4</v>
      </c>
      <c r="D15" s="294">
        <v>41959.79</v>
      </c>
      <c r="E15" s="307">
        <f t="shared" si="0"/>
        <v>2660.6100000000006</v>
      </c>
      <c r="F15" s="294">
        <v>0</v>
      </c>
      <c r="G15" s="307">
        <v>0</v>
      </c>
      <c r="H15" s="295">
        <f t="shared" si="1"/>
        <v>0</v>
      </c>
      <c r="I15" s="295">
        <f t="shared" si="2"/>
        <v>44620.4</v>
      </c>
      <c r="J15" s="307">
        <f>D15+G15</f>
        <v>41959.79</v>
      </c>
      <c r="K15" s="307">
        <f>E15+H15</f>
        <v>2660.6100000000006</v>
      </c>
      <c r="L15" s="370" t="s">
        <v>297</v>
      </c>
      <c r="M15" s="311">
        <v>44652.22</v>
      </c>
      <c r="N15" s="251">
        <f>M15-D15</f>
        <v>2692.4300000000003</v>
      </c>
      <c r="O15" s="241"/>
    </row>
    <row r="16" spans="1:15" s="223" customFormat="1" ht="27.75" customHeight="1">
      <c r="A16" s="317">
        <v>7</v>
      </c>
      <c r="B16" s="316" t="s">
        <v>268</v>
      </c>
      <c r="C16" s="294">
        <v>230828.85</v>
      </c>
      <c r="D16" s="294">
        <v>219682.49</v>
      </c>
      <c r="E16" s="307">
        <f t="shared" si="0"/>
        <v>11146.360000000015</v>
      </c>
      <c r="F16" s="294">
        <v>0</v>
      </c>
      <c r="G16" s="307">
        <v>0</v>
      </c>
      <c r="H16" s="295">
        <f t="shared" si="1"/>
        <v>0</v>
      </c>
      <c r="I16" s="295">
        <f t="shared" si="2"/>
        <v>230828.85</v>
      </c>
      <c r="J16" s="307">
        <f>D16+G16</f>
        <v>219682.49</v>
      </c>
      <c r="K16" s="307">
        <f t="shared" si="4"/>
        <v>11146.360000000015</v>
      </c>
      <c r="L16" s="369" t="s">
        <v>160</v>
      </c>
      <c r="M16" s="311">
        <f t="shared" si="3"/>
        <v>230828.85</v>
      </c>
      <c r="N16" s="251">
        <f>M16-D16</f>
        <v>11146.360000000015</v>
      </c>
      <c r="O16" s="241"/>
    </row>
    <row r="17" spans="1:15" s="223" customFormat="1" ht="27.75" customHeight="1">
      <c r="A17" s="312">
        <v>8</v>
      </c>
      <c r="B17" s="310" t="s">
        <v>286</v>
      </c>
      <c r="C17" s="301">
        <v>115747.28</v>
      </c>
      <c r="D17" s="301">
        <v>108629.97</v>
      </c>
      <c r="E17" s="307">
        <f t="shared" si="0"/>
        <v>7117.309999999998</v>
      </c>
      <c r="F17" s="301">
        <v>28103.79</v>
      </c>
      <c r="G17" s="309">
        <v>25761.8</v>
      </c>
      <c r="H17" s="295">
        <f t="shared" si="1"/>
        <v>2341.9900000000016</v>
      </c>
      <c r="I17" s="295">
        <f t="shared" si="2"/>
        <v>143851.07</v>
      </c>
      <c r="J17" s="309">
        <f t="shared" si="4"/>
        <v>134391.77</v>
      </c>
      <c r="K17" s="309">
        <f t="shared" si="4"/>
        <v>9459.3</v>
      </c>
      <c r="L17" s="371" t="s">
        <v>159</v>
      </c>
      <c r="M17" s="311">
        <f t="shared" si="3"/>
        <v>143851.07</v>
      </c>
      <c r="N17" s="251"/>
      <c r="O17" s="241"/>
    </row>
    <row r="18" spans="1:15" s="223" customFormat="1" ht="27.75" customHeight="1">
      <c r="A18" s="317">
        <v>9</v>
      </c>
      <c r="B18" s="310" t="s">
        <v>285</v>
      </c>
      <c r="C18" s="301">
        <v>33796</v>
      </c>
      <c r="D18" s="301">
        <v>33537.2</v>
      </c>
      <c r="E18" s="307">
        <f t="shared" si="0"/>
        <v>258.8000000000029</v>
      </c>
      <c r="F18" s="301">
        <v>0</v>
      </c>
      <c r="G18" s="309">
        <v>0</v>
      </c>
      <c r="H18" s="295">
        <f t="shared" si="1"/>
        <v>0</v>
      </c>
      <c r="I18" s="295">
        <f t="shared" si="2"/>
        <v>33796</v>
      </c>
      <c r="J18" s="309">
        <f>D18+G18</f>
        <v>33537.2</v>
      </c>
      <c r="K18" s="309">
        <f>E18+H18</f>
        <v>258.8000000000029</v>
      </c>
      <c r="L18" s="371" t="s">
        <v>159</v>
      </c>
      <c r="M18" s="311">
        <f t="shared" si="3"/>
        <v>33796</v>
      </c>
      <c r="N18" s="251"/>
      <c r="O18" s="241"/>
    </row>
    <row r="19" spans="1:15" s="223" customFormat="1" ht="27.75" customHeight="1" thickBot="1">
      <c r="A19" s="317">
        <v>9</v>
      </c>
      <c r="B19" s="310" t="s">
        <v>0</v>
      </c>
      <c r="C19" s="301">
        <v>12301.95</v>
      </c>
      <c r="D19" s="301">
        <v>11090.05</v>
      </c>
      <c r="E19" s="307">
        <f t="shared" si="0"/>
        <v>1211.9000000000015</v>
      </c>
      <c r="F19" s="301">
        <v>0</v>
      </c>
      <c r="G19" s="309">
        <v>0</v>
      </c>
      <c r="H19" s="295">
        <f t="shared" si="1"/>
        <v>0</v>
      </c>
      <c r="I19" s="295">
        <f t="shared" si="2"/>
        <v>12301.95</v>
      </c>
      <c r="J19" s="309">
        <f>D19+G19</f>
        <v>11090.05</v>
      </c>
      <c r="K19" s="309">
        <f>E19+H19</f>
        <v>1211.9000000000015</v>
      </c>
      <c r="L19" s="371" t="s">
        <v>159</v>
      </c>
      <c r="M19" s="311">
        <f t="shared" si="3"/>
        <v>12301.95</v>
      </c>
      <c r="N19" s="251"/>
      <c r="O19" s="241"/>
    </row>
    <row r="20" spans="1:15" s="223" customFormat="1" ht="18" customHeight="1" thickBot="1">
      <c r="A20" s="335"/>
      <c r="B20" s="336" t="s">
        <v>147</v>
      </c>
      <c r="C20" s="337">
        <v>1955367.12</v>
      </c>
      <c r="D20" s="337">
        <v>1885051.41</v>
      </c>
      <c r="E20" s="337">
        <v>70315.71</v>
      </c>
      <c r="F20" s="337">
        <f>SUM(F9:F17)+F8</f>
        <v>245938.87</v>
      </c>
      <c r="G20" s="337">
        <f>SUM(G9:G17)+G8</f>
        <v>214818.06</v>
      </c>
      <c r="H20" s="337">
        <f>SUM(H9:H17)+H8</f>
        <v>31120.809999999987</v>
      </c>
      <c r="I20" s="337">
        <f>F20+C20</f>
        <v>2201305.99</v>
      </c>
      <c r="J20" s="337">
        <v>1820960.97</v>
      </c>
      <c r="K20" s="337">
        <v>101436.52</v>
      </c>
      <c r="L20" s="338"/>
      <c r="M20" s="339">
        <v>2143592</v>
      </c>
      <c r="N20" s="274">
        <f>SUM(N9:N19)+N8</f>
        <v>40836.590000000026</v>
      </c>
      <c r="O20" s="241"/>
    </row>
    <row r="21" spans="1:15" s="223" customFormat="1" ht="18" customHeight="1" thickBot="1">
      <c r="A21" s="303">
        <v>10</v>
      </c>
      <c r="B21" s="306" t="s">
        <v>277</v>
      </c>
      <c r="C21" s="294">
        <v>1495061.75</v>
      </c>
      <c r="D21" s="294">
        <v>1427686.81</v>
      </c>
      <c r="E21" s="307">
        <f>C21-D21</f>
        <v>67374.93999999994</v>
      </c>
      <c r="F21" s="294">
        <v>215911</v>
      </c>
      <c r="G21" s="307">
        <v>207523</v>
      </c>
      <c r="H21" s="307">
        <f>F21-G21</f>
        <v>8388</v>
      </c>
      <c r="I21" s="307">
        <f>C21+F21</f>
        <v>1710972.75</v>
      </c>
      <c r="J21" s="307">
        <f>D21+G21</f>
        <v>1635209.81</v>
      </c>
      <c r="K21" s="307">
        <f>E21+H21</f>
        <v>75762.93999999994</v>
      </c>
      <c r="L21" s="370" t="s">
        <v>290</v>
      </c>
      <c r="M21" s="314">
        <v>1863689</v>
      </c>
      <c r="N21" s="266">
        <f aca="true" t="shared" si="5" ref="N21:N26">M21-D21</f>
        <v>436002.18999999994</v>
      </c>
      <c r="O21" s="275"/>
    </row>
    <row r="22" spans="1:15" s="223" customFormat="1" ht="18" customHeight="1" thickBot="1">
      <c r="A22" s="303">
        <v>11</v>
      </c>
      <c r="B22" s="306" t="s">
        <v>258</v>
      </c>
      <c r="C22" s="294">
        <f>421288.2+6208.51</f>
        <v>427496.71</v>
      </c>
      <c r="D22" s="294">
        <f>385961.75+6315.05</f>
        <v>392276.8</v>
      </c>
      <c r="E22" s="307">
        <f>C22-D22</f>
        <v>35219.91000000003</v>
      </c>
      <c r="F22" s="294">
        <v>5814.64</v>
      </c>
      <c r="G22" s="307">
        <v>5214.56</v>
      </c>
      <c r="H22" s="307">
        <f>F22-G22</f>
        <v>600.0799999999999</v>
      </c>
      <c r="I22" s="307">
        <f>C22+F22</f>
        <v>433311.35000000003</v>
      </c>
      <c r="J22" s="307">
        <f aca="true" t="shared" si="6" ref="J22:K26">D22+G22</f>
        <v>397491.36</v>
      </c>
      <c r="K22" s="307">
        <f t="shared" si="6"/>
        <v>35819.990000000034</v>
      </c>
      <c r="L22" s="370" t="s">
        <v>291</v>
      </c>
      <c r="M22" s="314">
        <v>480178</v>
      </c>
      <c r="N22" s="266">
        <f t="shared" si="5"/>
        <v>87901.20000000001</v>
      </c>
      <c r="O22" s="275"/>
    </row>
    <row r="23" spans="1:15" s="223" customFormat="1" ht="18" customHeight="1">
      <c r="A23" s="303"/>
      <c r="B23" s="306" t="s">
        <v>293</v>
      </c>
      <c r="C23" s="294"/>
      <c r="D23" s="294"/>
      <c r="E23" s="307"/>
      <c r="F23" s="294"/>
      <c r="G23" s="307"/>
      <c r="H23" s="307"/>
      <c r="I23" s="307">
        <f>C23+F23</f>
        <v>0</v>
      </c>
      <c r="J23" s="307"/>
      <c r="K23" s="307"/>
      <c r="L23" s="372">
        <f>M22-I22</f>
        <v>46866.649999999965</v>
      </c>
      <c r="M23" s="314"/>
      <c r="N23" s="266">
        <f t="shared" si="5"/>
        <v>0</v>
      </c>
      <c r="O23" s="275"/>
    </row>
    <row r="24" spans="1:15" s="223" customFormat="1" ht="18" customHeight="1" thickBot="1">
      <c r="A24" s="303">
        <v>12</v>
      </c>
      <c r="B24" s="306" t="s">
        <v>259</v>
      </c>
      <c r="C24" s="294">
        <v>412241.44</v>
      </c>
      <c r="D24" s="294">
        <v>384270.12</v>
      </c>
      <c r="E24" s="307">
        <f>C24-D24</f>
        <v>27971.320000000007</v>
      </c>
      <c r="F24" s="294">
        <v>5485.88</v>
      </c>
      <c r="G24" s="296">
        <v>4850.3</v>
      </c>
      <c r="H24" s="307">
        <f>F24-G24</f>
        <v>635.5799999999999</v>
      </c>
      <c r="I24" s="307">
        <f>C24+F24</f>
        <v>417727.32</v>
      </c>
      <c r="J24" s="307">
        <f t="shared" si="6"/>
        <v>389120.42</v>
      </c>
      <c r="K24" s="307">
        <f t="shared" si="6"/>
        <v>28606.90000000001</v>
      </c>
      <c r="L24" s="370" t="s">
        <v>291</v>
      </c>
      <c r="M24" s="314">
        <v>498132</v>
      </c>
      <c r="N24" s="254">
        <f t="shared" si="5"/>
        <v>113861.88</v>
      </c>
      <c r="O24" s="241"/>
    </row>
    <row r="25" spans="1:15" s="223" customFormat="1" ht="18" customHeight="1" thickBot="1">
      <c r="A25" s="303"/>
      <c r="B25" s="306" t="s">
        <v>295</v>
      </c>
      <c r="C25" s="294"/>
      <c r="D25" s="294"/>
      <c r="E25" s="307"/>
      <c r="F25" s="294"/>
      <c r="G25" s="307"/>
      <c r="H25" s="307"/>
      <c r="I25" s="307">
        <f>C25+F25</f>
        <v>0</v>
      </c>
      <c r="J25" s="307"/>
      <c r="K25" s="307"/>
      <c r="L25" s="372">
        <f>M24-I24</f>
        <v>80404.68</v>
      </c>
      <c r="M25" s="314"/>
      <c r="N25" s="266">
        <f t="shared" si="5"/>
        <v>0</v>
      </c>
      <c r="O25" s="275"/>
    </row>
    <row r="26" spans="1:15" s="223" customFormat="1" ht="35.25" customHeight="1">
      <c r="A26" s="303">
        <v>13</v>
      </c>
      <c r="B26" s="318" t="s">
        <v>260</v>
      </c>
      <c r="C26" s="294">
        <v>24136.92</v>
      </c>
      <c r="D26" s="294">
        <v>23309.81</v>
      </c>
      <c r="E26" s="307">
        <f>C26-D26</f>
        <v>827.109999999997</v>
      </c>
      <c r="F26" s="294">
        <v>3497.88</v>
      </c>
      <c r="G26" s="296">
        <v>3069.6</v>
      </c>
      <c r="H26" s="307">
        <f>F26-G26</f>
        <v>428.2800000000002</v>
      </c>
      <c r="I26" s="307">
        <f>C26+F26</f>
        <v>27634.8</v>
      </c>
      <c r="J26" s="307">
        <f t="shared" si="6"/>
        <v>26379.41</v>
      </c>
      <c r="K26" s="307">
        <f t="shared" si="6"/>
        <v>1255.3899999999971</v>
      </c>
      <c r="L26" s="369" t="s">
        <v>292</v>
      </c>
      <c r="M26" s="314">
        <v>28864</v>
      </c>
      <c r="N26" s="266">
        <f t="shared" si="5"/>
        <v>5554.189999999999</v>
      </c>
      <c r="O26" s="241"/>
    </row>
    <row r="27" spans="1:15" s="223" customFormat="1" ht="18" customHeight="1" thickBot="1">
      <c r="A27" s="335"/>
      <c r="B27" s="336" t="s">
        <v>161</v>
      </c>
      <c r="C27" s="337">
        <f>SUM(C21:C26)</f>
        <v>2358936.82</v>
      </c>
      <c r="D27" s="337">
        <f aca="true" t="shared" si="7" ref="D27:O27">SUM(D21:D26)</f>
        <v>2227543.54</v>
      </c>
      <c r="E27" s="337">
        <f t="shared" si="7"/>
        <v>131393.27999999997</v>
      </c>
      <c r="F27" s="337">
        <f t="shared" si="7"/>
        <v>230709.40000000002</v>
      </c>
      <c r="G27" s="337">
        <f t="shared" si="7"/>
        <v>220657.46</v>
      </c>
      <c r="H27" s="337">
        <f t="shared" si="7"/>
        <v>10051.94</v>
      </c>
      <c r="I27" s="337">
        <f t="shared" si="7"/>
        <v>2589646.2199999997</v>
      </c>
      <c r="J27" s="337">
        <f t="shared" si="7"/>
        <v>2448201</v>
      </c>
      <c r="K27" s="337">
        <f t="shared" si="7"/>
        <v>141445.21999999997</v>
      </c>
      <c r="L27" s="337"/>
      <c r="M27" s="337">
        <f t="shared" si="7"/>
        <v>2870863</v>
      </c>
      <c r="N27" s="337">
        <f t="shared" si="7"/>
        <v>643319.46</v>
      </c>
      <c r="O27" s="337">
        <f t="shared" si="7"/>
        <v>0</v>
      </c>
    </row>
    <row r="28" spans="1:15" s="223" customFormat="1" ht="18" customHeight="1" thickBot="1">
      <c r="A28" s="335"/>
      <c r="B28" s="336" t="s">
        <v>77</v>
      </c>
      <c r="C28" s="337">
        <f aca="true" t="shared" si="8" ref="C28:K28">C20+C27</f>
        <v>4314303.9399999995</v>
      </c>
      <c r="D28" s="337">
        <f t="shared" si="8"/>
        <v>4112594.95</v>
      </c>
      <c r="E28" s="337">
        <f t="shared" si="8"/>
        <v>201708.99</v>
      </c>
      <c r="F28" s="337">
        <f t="shared" si="8"/>
        <v>476648.27</v>
      </c>
      <c r="G28" s="337">
        <f t="shared" si="8"/>
        <v>435475.52</v>
      </c>
      <c r="H28" s="337">
        <f t="shared" si="8"/>
        <v>41172.749999999985</v>
      </c>
      <c r="I28" s="337">
        <f t="shared" si="8"/>
        <v>4790952.21</v>
      </c>
      <c r="J28" s="337">
        <f t="shared" si="8"/>
        <v>4269161.97</v>
      </c>
      <c r="K28" s="337">
        <f t="shared" si="8"/>
        <v>242881.74</v>
      </c>
      <c r="L28" s="336"/>
      <c r="M28" s="339">
        <f>M20+M27</f>
        <v>5014455</v>
      </c>
      <c r="N28" s="274">
        <f>SUM(N20:N27)</f>
        <v>1327475.5099999998</v>
      </c>
      <c r="O28" s="241"/>
    </row>
    <row r="29" spans="1:15" s="199" customFormat="1" ht="15" hidden="1">
      <c r="A29" s="344" t="s">
        <v>262</v>
      </c>
      <c r="B29" s="344"/>
      <c r="C29" s="344"/>
      <c r="D29" s="344"/>
      <c r="E29" s="344"/>
      <c r="F29" s="319"/>
      <c r="G29" s="343">
        <v>186515.87</v>
      </c>
      <c r="H29" s="320"/>
      <c r="I29" s="320"/>
      <c r="J29" s="321"/>
      <c r="K29" s="321"/>
      <c r="L29" s="322"/>
      <c r="M29" s="323"/>
      <c r="N29" s="284"/>
      <c r="O29" s="241"/>
    </row>
    <row r="30" spans="1:15" s="199" customFormat="1" ht="15" hidden="1">
      <c r="A30" s="345"/>
      <c r="B30" s="345"/>
      <c r="C30" s="345"/>
      <c r="D30" s="345"/>
      <c r="E30" s="345"/>
      <c r="F30" s="319"/>
      <c r="G30" s="343"/>
      <c r="H30" s="320"/>
      <c r="I30" s="320"/>
      <c r="J30" s="321"/>
      <c r="K30" s="321"/>
      <c r="L30" s="322"/>
      <c r="M30" s="323"/>
      <c r="N30" s="284"/>
      <c r="O30" s="241"/>
    </row>
    <row r="31" spans="1:15" ht="44.25" customHeight="1" hidden="1">
      <c r="A31" s="345"/>
      <c r="B31" s="345"/>
      <c r="C31" s="345"/>
      <c r="D31" s="345"/>
      <c r="E31" s="345"/>
      <c r="F31" s="324"/>
      <c r="G31" s="324"/>
      <c r="H31" s="324"/>
      <c r="I31" s="324"/>
      <c r="J31" s="325"/>
      <c r="K31" s="325"/>
      <c r="L31" s="326"/>
      <c r="M31" s="327"/>
      <c r="N31" s="242"/>
      <c r="O31" s="241"/>
    </row>
    <row r="32" ht="12.75">
      <c r="B32" s="329"/>
    </row>
    <row r="36" spans="8:9" ht="12.75">
      <c r="H36" s="332"/>
      <c r="I36" s="332"/>
    </row>
  </sheetData>
  <sheetProtection/>
  <mergeCells count="4">
    <mergeCell ref="B1:M1"/>
    <mergeCell ref="A6:B6"/>
    <mergeCell ref="G29:G30"/>
    <mergeCell ref="A29:E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5" sqref="A5:A21"/>
    </sheetView>
  </sheetViews>
  <sheetFormatPr defaultColWidth="9.00390625" defaultRowHeight="12.75"/>
  <cols>
    <col min="1" max="1" width="7.625" style="0" customWidth="1"/>
    <col min="2" max="2" width="52.375" style="0" customWidth="1"/>
    <col min="3" max="3" width="17.75390625" style="0" customWidth="1"/>
    <col min="4" max="4" width="17.125" style="0" customWidth="1"/>
  </cols>
  <sheetData>
    <row r="1" spans="1:4" ht="20.25">
      <c r="A1" s="346" t="s">
        <v>270</v>
      </c>
      <c r="B1" s="346"/>
      <c r="C1" s="346"/>
      <c r="D1" s="346"/>
    </row>
    <row r="2" spans="1:4" ht="79.5" customHeight="1">
      <c r="A2" s="239" t="s">
        <v>269</v>
      </c>
      <c r="B2" s="240" t="s">
        <v>195</v>
      </c>
      <c r="C2" s="239" t="s">
        <v>281</v>
      </c>
      <c r="D2" s="239" t="s">
        <v>282</v>
      </c>
    </row>
    <row r="3" spans="1:4" s="223" customFormat="1" ht="13.5" customHeight="1">
      <c r="A3" s="264">
        <v>1</v>
      </c>
      <c r="B3" s="257" t="s">
        <v>287</v>
      </c>
      <c r="C3" s="255">
        <v>0.34</v>
      </c>
      <c r="D3" s="255">
        <v>0.34</v>
      </c>
    </row>
    <row r="4" spans="1:4" s="223" customFormat="1" ht="36.75" customHeight="1">
      <c r="A4" s="264">
        <v>2</v>
      </c>
      <c r="B4" s="257" t="s">
        <v>271</v>
      </c>
      <c r="C4" s="255">
        <v>9.59</v>
      </c>
      <c r="D4" s="255">
        <v>10.39</v>
      </c>
    </row>
    <row r="5" spans="1:4" s="223" customFormat="1" ht="32.25" customHeight="1">
      <c r="A5" s="246">
        <v>3</v>
      </c>
      <c r="B5" s="277" t="s">
        <v>149</v>
      </c>
      <c r="C5" s="261">
        <v>0.53</v>
      </c>
      <c r="D5" s="261">
        <v>0.56</v>
      </c>
    </row>
    <row r="6" spans="1:4" s="293" customFormat="1" ht="30.75" customHeight="1">
      <c r="A6" s="246">
        <v>4</v>
      </c>
      <c r="B6" s="347" t="s">
        <v>265</v>
      </c>
      <c r="C6" s="349">
        <v>5.08</v>
      </c>
      <c r="D6" s="349">
        <v>5.84</v>
      </c>
    </row>
    <row r="7" spans="1:4" s="223" customFormat="1" ht="30.75" customHeight="1">
      <c r="A7" s="246">
        <v>5</v>
      </c>
      <c r="B7" s="348"/>
      <c r="C7" s="350"/>
      <c r="D7" s="350"/>
    </row>
    <row r="8" spans="1:4" s="223" customFormat="1" ht="27.75" customHeight="1">
      <c r="A8" s="246">
        <v>6</v>
      </c>
      <c r="B8" s="288" t="s">
        <v>266</v>
      </c>
      <c r="C8" s="294">
        <v>1.41</v>
      </c>
      <c r="D8" s="294">
        <v>1.52</v>
      </c>
    </row>
    <row r="9" spans="1:4" s="223" customFormat="1" ht="27.75" customHeight="1">
      <c r="A9" s="246">
        <v>7</v>
      </c>
      <c r="B9" s="288" t="s">
        <v>263</v>
      </c>
      <c r="C9" s="294">
        <v>0.34</v>
      </c>
      <c r="D9" s="294">
        <v>0.34</v>
      </c>
    </row>
    <row r="10" spans="1:4" s="223" customFormat="1" ht="27.75" customHeight="1">
      <c r="A10" s="246">
        <v>8</v>
      </c>
      <c r="B10" s="288" t="s">
        <v>280</v>
      </c>
      <c r="C10" s="294">
        <v>5635.09</v>
      </c>
      <c r="D10" s="298">
        <v>5747.79</v>
      </c>
    </row>
    <row r="11" spans="1:4" s="223" customFormat="1" ht="27.75" customHeight="1">
      <c r="A11" s="246">
        <v>9</v>
      </c>
      <c r="B11" s="288" t="s">
        <v>267</v>
      </c>
      <c r="C11" s="294">
        <v>0.56</v>
      </c>
      <c r="D11" s="294">
        <v>0.65</v>
      </c>
    </row>
    <row r="12" spans="1:4" s="223" customFormat="1" ht="18" customHeight="1">
      <c r="A12" s="246">
        <v>10</v>
      </c>
      <c r="B12" s="288" t="s">
        <v>289</v>
      </c>
      <c r="C12" s="294">
        <v>2.24</v>
      </c>
      <c r="D12" s="294">
        <v>2.24</v>
      </c>
    </row>
    <row r="13" spans="1:4" s="223" customFormat="1" ht="18" customHeight="1">
      <c r="A13" s="246">
        <v>11</v>
      </c>
      <c r="B13" s="288" t="s">
        <v>268</v>
      </c>
      <c r="C13" s="294">
        <v>3.5</v>
      </c>
      <c r="D13" s="294">
        <v>3.5</v>
      </c>
    </row>
    <row r="14" spans="1:4" s="223" customFormat="1" ht="18" customHeight="1">
      <c r="A14" s="246">
        <v>12</v>
      </c>
      <c r="B14" s="257" t="s">
        <v>286</v>
      </c>
      <c r="C14" s="299">
        <v>1.18</v>
      </c>
      <c r="D14" s="299">
        <v>2.29</v>
      </c>
    </row>
    <row r="15" spans="1:4" s="223" customFormat="1" ht="18" customHeight="1">
      <c r="A15" s="246">
        <v>13</v>
      </c>
      <c r="B15" s="257" t="s">
        <v>285</v>
      </c>
      <c r="C15" s="299">
        <v>119</v>
      </c>
      <c r="D15" s="299">
        <v>119</v>
      </c>
    </row>
    <row r="16" spans="1:4" s="223" customFormat="1" ht="22.5" customHeight="1">
      <c r="A16" s="246">
        <v>14</v>
      </c>
      <c r="B16" s="257" t="s">
        <v>0</v>
      </c>
      <c r="C16" s="299">
        <v>59.3</v>
      </c>
      <c r="D16" s="299">
        <v>63.45</v>
      </c>
    </row>
    <row r="17" spans="1:4" ht="15">
      <c r="A17" s="246">
        <v>15</v>
      </c>
      <c r="B17" s="249" t="s">
        <v>277</v>
      </c>
      <c r="C17" s="261">
        <v>1541.78</v>
      </c>
      <c r="D17" s="261">
        <v>1621.95</v>
      </c>
    </row>
    <row r="18" spans="1:4" ht="15">
      <c r="A18" s="246">
        <v>16</v>
      </c>
      <c r="B18" s="249" t="s">
        <v>278</v>
      </c>
      <c r="C18" s="261">
        <v>92.51</v>
      </c>
      <c r="D18" s="261">
        <v>97.32</v>
      </c>
    </row>
    <row r="19" spans="1:4" ht="15">
      <c r="A19" s="246">
        <v>17</v>
      </c>
      <c r="B19" s="249" t="s">
        <v>258</v>
      </c>
      <c r="C19" s="261">
        <v>23.13</v>
      </c>
      <c r="D19" s="261">
        <v>25.44</v>
      </c>
    </row>
    <row r="20" spans="1:4" ht="15">
      <c r="A20" s="246">
        <v>18</v>
      </c>
      <c r="B20" s="249" t="s">
        <v>259</v>
      </c>
      <c r="C20" s="261">
        <v>23.13</v>
      </c>
      <c r="D20" s="261">
        <v>25.44</v>
      </c>
    </row>
    <row r="21" spans="1:4" ht="15">
      <c r="A21" s="246">
        <v>19</v>
      </c>
      <c r="B21" s="290" t="s">
        <v>260</v>
      </c>
      <c r="C21" s="261">
        <v>3.84</v>
      </c>
      <c r="D21" s="261">
        <v>4.12</v>
      </c>
    </row>
  </sheetData>
  <sheetProtection/>
  <mergeCells count="4">
    <mergeCell ref="A1:D1"/>
    <mergeCell ref="B6:B7"/>
    <mergeCell ref="C6:C7"/>
    <mergeCell ref="D6:D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58"/>
  <sheetViews>
    <sheetView zoomScalePageLayoutView="0" workbookViewId="0" topLeftCell="J1">
      <selection activeCell="P16" sqref="P16"/>
    </sheetView>
  </sheetViews>
  <sheetFormatPr defaultColWidth="9.00390625" defaultRowHeight="12.75"/>
  <cols>
    <col min="1" max="1" width="20.00390625" style="0" hidden="1" customWidth="1"/>
    <col min="2" max="2" width="17.75390625" style="0" hidden="1" customWidth="1"/>
    <col min="3" max="3" width="26.75390625" style="0" hidden="1" customWidth="1"/>
    <col min="4" max="4" width="35.75390625" style="0" hidden="1" customWidth="1"/>
    <col min="5" max="5" width="31.125" style="0" hidden="1" customWidth="1"/>
    <col min="6" max="6" width="30.25390625" style="0" hidden="1" customWidth="1"/>
    <col min="7" max="7" width="35.125" style="0" hidden="1" customWidth="1"/>
    <col min="8" max="8" width="33.375" style="0" hidden="1" customWidth="1"/>
    <col min="9" max="9" width="28.625" style="0" hidden="1" customWidth="1"/>
    <col min="11" max="11" width="18.75390625" style="0" customWidth="1"/>
  </cols>
  <sheetData>
    <row r="2" spans="1:9" ht="16.5" customHeight="1">
      <c r="A2" s="353" t="s">
        <v>163</v>
      </c>
      <c r="B2" s="353" t="s">
        <v>164</v>
      </c>
      <c r="C2" s="353" t="s">
        <v>165</v>
      </c>
      <c r="D2" s="353" t="s">
        <v>166</v>
      </c>
      <c r="E2" s="234" t="s">
        <v>167</v>
      </c>
      <c r="F2" s="231" t="s">
        <v>194</v>
      </c>
      <c r="G2" s="353" t="s">
        <v>195</v>
      </c>
      <c r="H2" s="231" t="s">
        <v>196</v>
      </c>
      <c r="I2" s="231" t="s">
        <v>196</v>
      </c>
    </row>
    <row r="3" spans="1:9" ht="38.25" customHeight="1">
      <c r="A3" s="354"/>
      <c r="B3" s="354"/>
      <c r="C3" s="354"/>
      <c r="D3" s="354"/>
      <c r="E3" s="234" t="s">
        <v>168</v>
      </c>
      <c r="F3" s="231" t="s">
        <v>31</v>
      </c>
      <c r="G3" s="354"/>
      <c r="H3" s="231" t="s">
        <v>197</v>
      </c>
      <c r="I3" s="231" t="s">
        <v>198</v>
      </c>
    </row>
    <row r="4" spans="1:9" ht="25.5" customHeight="1">
      <c r="A4" s="354"/>
      <c r="B4" s="354"/>
      <c r="C4" s="354"/>
      <c r="D4" s="354"/>
      <c r="E4" s="234" t="s">
        <v>169</v>
      </c>
      <c r="F4" s="235"/>
      <c r="G4" s="354"/>
      <c r="H4" s="231" t="s">
        <v>198</v>
      </c>
      <c r="I4" s="231" t="s">
        <v>201</v>
      </c>
    </row>
    <row r="5" spans="1:11" ht="26.25" customHeight="1">
      <c r="A5" s="355"/>
      <c r="B5" s="355"/>
      <c r="C5" s="355"/>
      <c r="D5" s="355"/>
      <c r="E5" s="234" t="s">
        <v>170</v>
      </c>
      <c r="F5" s="235"/>
      <c r="G5" s="354"/>
      <c r="H5" s="231" t="s">
        <v>199</v>
      </c>
      <c r="I5" s="231" t="s">
        <v>202</v>
      </c>
      <c r="K5" s="238"/>
    </row>
    <row r="6" spans="1:9" ht="18" customHeight="1">
      <c r="A6" s="231">
        <v>1</v>
      </c>
      <c r="B6" s="231" t="s">
        <v>171</v>
      </c>
      <c r="C6" s="231"/>
      <c r="D6" s="231"/>
      <c r="E6" s="237" t="s">
        <v>172</v>
      </c>
      <c r="F6" s="235"/>
      <c r="G6" s="355"/>
      <c r="H6" s="231" t="s">
        <v>200</v>
      </c>
      <c r="I6" s="231" t="s">
        <v>156</v>
      </c>
    </row>
    <row r="7" spans="1:9" ht="15" customHeight="1">
      <c r="A7" s="236">
        <v>3.1</v>
      </c>
      <c r="B7" s="231" t="s">
        <v>175</v>
      </c>
      <c r="C7" s="236"/>
      <c r="D7" s="236"/>
      <c r="E7" s="352" t="s">
        <v>176</v>
      </c>
      <c r="F7" s="351">
        <v>2</v>
      </c>
      <c r="G7" s="231" t="s">
        <v>203</v>
      </c>
      <c r="H7" s="351">
        <v>9.59</v>
      </c>
      <c r="I7" s="351">
        <v>14.83</v>
      </c>
    </row>
    <row r="8" spans="1:9" ht="19.5" customHeight="1">
      <c r="A8" s="231"/>
      <c r="B8" s="231" t="s">
        <v>180</v>
      </c>
      <c r="C8" s="231" t="s">
        <v>178</v>
      </c>
      <c r="D8" s="231">
        <v>3.55</v>
      </c>
      <c r="E8" s="352"/>
      <c r="F8" s="351"/>
      <c r="G8" s="231" t="s">
        <v>204</v>
      </c>
      <c r="H8" s="351"/>
      <c r="I8" s="351"/>
    </row>
    <row r="9" spans="1:9" ht="19.5" customHeight="1">
      <c r="A9" s="231"/>
      <c r="B9" s="231" t="s">
        <v>181</v>
      </c>
      <c r="C9" s="231" t="s">
        <v>178</v>
      </c>
      <c r="D9" s="231">
        <v>2.14</v>
      </c>
      <c r="E9" s="352"/>
      <c r="F9" s="351"/>
      <c r="G9" s="231" t="s">
        <v>205</v>
      </c>
      <c r="H9" s="351"/>
      <c r="I9" s="351"/>
    </row>
    <row r="10" spans="1:9" ht="19.5" customHeight="1">
      <c r="A10" s="351">
        <v>3.2</v>
      </c>
      <c r="B10" s="231" t="s">
        <v>182</v>
      </c>
      <c r="C10" s="351"/>
      <c r="D10" s="351"/>
      <c r="E10" s="352"/>
      <c r="F10" s="351"/>
      <c r="G10" s="231" t="s">
        <v>206</v>
      </c>
      <c r="H10" s="351"/>
      <c r="I10" s="351"/>
    </row>
    <row r="11" spans="1:9" ht="19.5" customHeight="1">
      <c r="A11" s="351"/>
      <c r="B11" s="231" t="s">
        <v>174</v>
      </c>
      <c r="C11" s="351"/>
      <c r="D11" s="351"/>
      <c r="E11" s="352"/>
      <c r="F11" s="351"/>
      <c r="G11" s="231" t="s">
        <v>207</v>
      </c>
      <c r="H11" s="351"/>
      <c r="I11" s="351"/>
    </row>
    <row r="12" spans="1:9" ht="19.5" customHeight="1">
      <c r="A12" s="231"/>
      <c r="B12" s="231" t="s">
        <v>177</v>
      </c>
      <c r="C12" s="231" t="s">
        <v>178</v>
      </c>
      <c r="D12" s="231">
        <v>3.84</v>
      </c>
      <c r="E12" s="352"/>
      <c r="F12" s="351"/>
      <c r="G12" s="231" t="s">
        <v>204</v>
      </c>
      <c r="H12" s="351"/>
      <c r="I12" s="351"/>
    </row>
    <row r="13" spans="1:9" ht="19.5" customHeight="1">
      <c r="A13" s="231"/>
      <c r="B13" s="351" t="s">
        <v>179</v>
      </c>
      <c r="C13" s="351"/>
      <c r="D13" s="351"/>
      <c r="E13" s="352"/>
      <c r="F13" s="351"/>
      <c r="G13" s="231" t="s">
        <v>208</v>
      </c>
      <c r="H13" s="351"/>
      <c r="I13" s="351"/>
    </row>
    <row r="14" spans="1:9" ht="19.5" customHeight="1">
      <c r="A14" s="231"/>
      <c r="B14" s="231" t="s">
        <v>180</v>
      </c>
      <c r="C14" s="231" t="s">
        <v>178</v>
      </c>
      <c r="D14" s="231">
        <v>3.91</v>
      </c>
      <c r="E14" s="352"/>
      <c r="F14" s="351"/>
      <c r="G14" s="231" t="s">
        <v>209</v>
      </c>
      <c r="H14" s="351"/>
      <c r="I14" s="351"/>
    </row>
    <row r="15" spans="1:9" ht="19.5" customHeight="1">
      <c r="A15" s="231"/>
      <c r="B15" s="231" t="s">
        <v>181</v>
      </c>
      <c r="C15" s="231" t="s">
        <v>178</v>
      </c>
      <c r="D15" s="231">
        <v>2.3</v>
      </c>
      <c r="E15" s="352"/>
      <c r="F15" s="351">
        <v>3</v>
      </c>
      <c r="G15" s="231" t="s">
        <v>210</v>
      </c>
      <c r="H15" s="351">
        <v>5.08</v>
      </c>
      <c r="I15" s="351">
        <v>7.97</v>
      </c>
    </row>
    <row r="16" spans="1:9" ht="19.5" customHeight="1">
      <c r="A16" s="351" t="s">
        <v>183</v>
      </c>
      <c r="B16" s="231" t="s">
        <v>184</v>
      </c>
      <c r="C16" s="351"/>
      <c r="D16" s="351"/>
      <c r="E16" s="352"/>
      <c r="F16" s="351"/>
      <c r="G16" s="231" t="s">
        <v>211</v>
      </c>
      <c r="H16" s="351"/>
      <c r="I16" s="351"/>
    </row>
    <row r="17" spans="1:9" ht="19.5" customHeight="1">
      <c r="A17" s="351"/>
      <c r="B17" s="231" t="s">
        <v>173</v>
      </c>
      <c r="C17" s="351"/>
      <c r="D17" s="351"/>
      <c r="E17" s="352"/>
      <c r="F17" s="351"/>
      <c r="G17" s="231" t="s">
        <v>212</v>
      </c>
      <c r="H17" s="351"/>
      <c r="I17" s="351"/>
    </row>
    <row r="18" spans="1:9" ht="19.5" customHeight="1">
      <c r="A18" s="231"/>
      <c r="B18" s="231" t="s">
        <v>177</v>
      </c>
      <c r="C18" s="231" t="s">
        <v>178</v>
      </c>
      <c r="D18" s="231">
        <v>2.47</v>
      </c>
      <c r="E18" s="352"/>
      <c r="F18" s="351"/>
      <c r="G18" s="231" t="s">
        <v>213</v>
      </c>
      <c r="H18" s="351"/>
      <c r="I18" s="351"/>
    </row>
    <row r="19" spans="1:9" ht="19.5" customHeight="1">
      <c r="A19" s="231"/>
      <c r="B19" s="351" t="s">
        <v>179</v>
      </c>
      <c r="C19" s="351"/>
      <c r="D19" s="351"/>
      <c r="E19" s="352"/>
      <c r="F19" s="351"/>
      <c r="G19" s="231" t="s">
        <v>214</v>
      </c>
      <c r="H19" s="351"/>
      <c r="I19" s="351"/>
    </row>
    <row r="20" spans="1:9" ht="19.5" customHeight="1">
      <c r="A20" s="231"/>
      <c r="B20" s="231" t="s">
        <v>180</v>
      </c>
      <c r="C20" s="231" t="s">
        <v>178</v>
      </c>
      <c r="D20" s="231">
        <v>2.49</v>
      </c>
      <c r="E20" s="352"/>
      <c r="F20" s="351"/>
      <c r="G20" s="231" t="s">
        <v>215</v>
      </c>
      <c r="H20" s="351"/>
      <c r="I20" s="351"/>
    </row>
    <row r="21" spans="1:9" ht="19.5" customHeight="1">
      <c r="A21" s="231"/>
      <c r="B21" s="231" t="s">
        <v>181</v>
      </c>
      <c r="C21" s="231" t="s">
        <v>178</v>
      </c>
      <c r="D21" s="231">
        <v>1.5</v>
      </c>
      <c r="E21" s="352"/>
      <c r="F21" s="351"/>
      <c r="G21" s="231" t="s">
        <v>216</v>
      </c>
      <c r="H21" s="351"/>
      <c r="I21" s="351"/>
    </row>
    <row r="22" spans="1:9" ht="19.5" customHeight="1">
      <c r="A22" s="351">
        <v>3.4</v>
      </c>
      <c r="B22" s="231" t="s">
        <v>184</v>
      </c>
      <c r="C22" s="351"/>
      <c r="D22" s="351"/>
      <c r="E22" s="352"/>
      <c r="F22" s="351"/>
      <c r="G22" s="231" t="s">
        <v>217</v>
      </c>
      <c r="H22" s="351"/>
      <c r="I22" s="351"/>
    </row>
    <row r="23" spans="1:9" ht="19.5" customHeight="1">
      <c r="A23" s="351"/>
      <c r="B23" s="231" t="s">
        <v>174</v>
      </c>
      <c r="C23" s="351"/>
      <c r="D23" s="351"/>
      <c r="E23" s="352"/>
      <c r="F23" s="351"/>
      <c r="G23" s="231" t="s">
        <v>218</v>
      </c>
      <c r="H23" s="351"/>
      <c r="I23" s="351"/>
    </row>
    <row r="24" spans="1:9" ht="19.5" customHeight="1">
      <c r="A24" s="231"/>
      <c r="B24" s="231" t="s">
        <v>177</v>
      </c>
      <c r="C24" s="231" t="s">
        <v>178</v>
      </c>
      <c r="D24" s="231">
        <v>2.69</v>
      </c>
      <c r="E24" s="352"/>
      <c r="F24" s="351"/>
      <c r="G24" s="231" t="s">
        <v>219</v>
      </c>
      <c r="H24" s="351"/>
      <c r="I24" s="351"/>
    </row>
    <row r="25" spans="1:9" ht="19.5" customHeight="1">
      <c r="A25" s="231"/>
      <c r="B25" s="351" t="s">
        <v>179</v>
      </c>
      <c r="C25" s="351"/>
      <c r="D25" s="351"/>
      <c r="E25" s="352"/>
      <c r="F25" s="351"/>
      <c r="G25" s="231" t="s">
        <v>220</v>
      </c>
      <c r="H25" s="351"/>
      <c r="I25" s="351"/>
    </row>
    <row r="26" spans="1:9" ht="19.5" customHeight="1">
      <c r="A26" s="231"/>
      <c r="B26" s="231" t="s">
        <v>180</v>
      </c>
      <c r="C26" s="231" t="s">
        <v>178</v>
      </c>
      <c r="D26" s="231">
        <v>2.74</v>
      </c>
      <c r="E26" s="352"/>
      <c r="F26" s="351"/>
      <c r="G26" s="231" t="s">
        <v>221</v>
      </c>
      <c r="H26" s="351"/>
      <c r="I26" s="351"/>
    </row>
    <row r="27" spans="1:9" ht="19.5" customHeight="1">
      <c r="A27" s="231"/>
      <c r="B27" s="231" t="s">
        <v>181</v>
      </c>
      <c r="C27" s="231" t="s">
        <v>178</v>
      </c>
      <c r="D27" s="231">
        <v>1.61</v>
      </c>
      <c r="E27" s="352"/>
      <c r="F27" s="351">
        <v>4</v>
      </c>
      <c r="G27" s="231" t="s">
        <v>222</v>
      </c>
      <c r="H27" s="351">
        <v>1.41</v>
      </c>
      <c r="I27" s="351">
        <v>2.02</v>
      </c>
    </row>
    <row r="28" spans="1:9" ht="19.5" customHeight="1">
      <c r="A28" s="231">
        <v>4</v>
      </c>
      <c r="B28" s="231" t="s">
        <v>185</v>
      </c>
      <c r="C28" s="231"/>
      <c r="D28" s="231"/>
      <c r="E28" s="352" t="s">
        <v>186</v>
      </c>
      <c r="F28" s="351"/>
      <c r="G28" s="231" t="s">
        <v>223</v>
      </c>
      <c r="H28" s="351"/>
      <c r="I28" s="351"/>
    </row>
    <row r="29" spans="1:9" ht="19.5" customHeight="1">
      <c r="A29" s="231"/>
      <c r="B29" s="231" t="s">
        <v>173</v>
      </c>
      <c r="C29" s="351" t="s">
        <v>187</v>
      </c>
      <c r="D29" s="232">
        <v>5241.52</v>
      </c>
      <c r="E29" s="352"/>
      <c r="F29" s="351"/>
      <c r="G29" s="231" t="s">
        <v>224</v>
      </c>
      <c r="H29" s="351"/>
      <c r="I29" s="351"/>
    </row>
    <row r="30" spans="1:9" ht="19.5" customHeight="1">
      <c r="A30" s="231"/>
      <c r="B30" s="231" t="s">
        <v>174</v>
      </c>
      <c r="C30" s="351"/>
      <c r="D30" s="231" t="s">
        <v>188</v>
      </c>
      <c r="E30" s="352"/>
      <c r="F30" s="351"/>
      <c r="G30" s="231" t="s">
        <v>225</v>
      </c>
      <c r="H30" s="351"/>
      <c r="I30" s="351"/>
    </row>
    <row r="31" spans="1:9" ht="19.5" customHeight="1">
      <c r="A31" s="231">
        <v>5</v>
      </c>
      <c r="B31" s="231" t="s">
        <v>189</v>
      </c>
      <c r="C31" s="231"/>
      <c r="D31" s="231"/>
      <c r="E31" s="352" t="s">
        <v>190</v>
      </c>
      <c r="F31" s="351"/>
      <c r="G31" s="231" t="s">
        <v>226</v>
      </c>
      <c r="H31" s="351"/>
      <c r="I31" s="351"/>
    </row>
    <row r="32" spans="1:9" ht="19.5" customHeight="1">
      <c r="A32" s="231"/>
      <c r="B32" s="231" t="s">
        <v>173</v>
      </c>
      <c r="C32" s="351" t="s">
        <v>191</v>
      </c>
      <c r="D32" s="231">
        <v>21.03</v>
      </c>
      <c r="E32" s="352"/>
      <c r="F32" s="351"/>
      <c r="G32" s="231" t="s">
        <v>227</v>
      </c>
      <c r="H32" s="351"/>
      <c r="I32" s="351"/>
    </row>
    <row r="33" spans="1:9" ht="19.5" customHeight="1">
      <c r="A33" s="231"/>
      <c r="B33" s="231" t="s">
        <v>174</v>
      </c>
      <c r="C33" s="351"/>
      <c r="D33" s="231">
        <v>23.13</v>
      </c>
      <c r="E33" s="352"/>
      <c r="F33" s="351"/>
      <c r="G33" s="231" t="s">
        <v>228</v>
      </c>
      <c r="H33" s="351"/>
      <c r="I33" s="351"/>
    </row>
    <row r="34" spans="1:9" ht="19.5" customHeight="1">
      <c r="A34" s="231">
        <v>6</v>
      </c>
      <c r="B34" s="231" t="s">
        <v>192</v>
      </c>
      <c r="C34" s="231"/>
      <c r="D34" s="231"/>
      <c r="E34" s="352" t="s">
        <v>193</v>
      </c>
      <c r="F34" s="351"/>
      <c r="G34" s="231" t="s">
        <v>229</v>
      </c>
      <c r="H34" s="351"/>
      <c r="I34" s="351"/>
    </row>
    <row r="35" spans="1:9" ht="19.5" customHeight="1">
      <c r="A35" s="233"/>
      <c r="B35" s="233"/>
      <c r="C35" s="233"/>
      <c r="D35" s="233"/>
      <c r="E35" s="352"/>
      <c r="F35" s="351"/>
      <c r="G35" s="231" t="s">
        <v>230</v>
      </c>
      <c r="H35" s="351"/>
      <c r="I35" s="351"/>
    </row>
    <row r="36" spans="1:9" ht="24">
      <c r="A36" s="233"/>
      <c r="B36" s="233"/>
      <c r="C36" s="233"/>
      <c r="D36" s="233"/>
      <c r="E36" s="352"/>
      <c r="F36" s="351">
        <v>5</v>
      </c>
      <c r="G36" s="231" t="s">
        <v>231</v>
      </c>
      <c r="H36" s="351">
        <v>1.26</v>
      </c>
      <c r="I36" s="351">
        <v>1.71</v>
      </c>
    </row>
    <row r="37" spans="1:9" ht="24">
      <c r="A37" s="233"/>
      <c r="B37" s="233"/>
      <c r="C37" s="233"/>
      <c r="D37" s="233"/>
      <c r="E37" s="352"/>
      <c r="F37" s="351"/>
      <c r="G37" s="231" t="s">
        <v>232</v>
      </c>
      <c r="H37" s="351"/>
      <c r="I37" s="351"/>
    </row>
    <row r="38" spans="1:9" ht="24">
      <c r="A38" s="233"/>
      <c r="B38" s="233"/>
      <c r="C38" s="233"/>
      <c r="D38" s="233"/>
      <c r="E38" s="352"/>
      <c r="F38" s="351">
        <v>6</v>
      </c>
      <c r="G38" s="231" t="s">
        <v>233</v>
      </c>
      <c r="H38" s="351">
        <v>0.34</v>
      </c>
      <c r="I38" s="351">
        <v>0.53</v>
      </c>
    </row>
    <row r="39" spans="1:9" ht="24">
      <c r="A39" s="233"/>
      <c r="B39" s="233"/>
      <c r="C39" s="233"/>
      <c r="D39" s="233"/>
      <c r="E39" s="352"/>
      <c r="F39" s="351"/>
      <c r="G39" s="231" t="s">
        <v>234</v>
      </c>
      <c r="H39" s="351"/>
      <c r="I39" s="351"/>
    </row>
    <row r="40" spans="6:9" ht="24">
      <c r="F40" s="351"/>
      <c r="G40" s="231" t="s">
        <v>235</v>
      </c>
      <c r="H40" s="351"/>
      <c r="I40" s="351"/>
    </row>
    <row r="41" spans="6:9" ht="24">
      <c r="F41" s="351"/>
      <c r="G41" s="231" t="s">
        <v>236</v>
      </c>
      <c r="H41" s="351"/>
      <c r="I41" s="351"/>
    </row>
    <row r="42" spans="6:9" ht="12.75">
      <c r="F42" s="351"/>
      <c r="G42" s="231" t="s">
        <v>237</v>
      </c>
      <c r="H42" s="351"/>
      <c r="I42" s="351"/>
    </row>
    <row r="43" spans="6:9" ht="24">
      <c r="F43" s="351">
        <v>7</v>
      </c>
      <c r="G43" s="231" t="s">
        <v>238</v>
      </c>
      <c r="H43" s="351">
        <v>0.41</v>
      </c>
      <c r="I43" s="351">
        <v>0.65</v>
      </c>
    </row>
    <row r="44" spans="6:9" ht="24">
      <c r="F44" s="351"/>
      <c r="G44" s="231" t="s">
        <v>239</v>
      </c>
      <c r="H44" s="351"/>
      <c r="I44" s="351"/>
    </row>
    <row r="45" spans="6:9" ht="24">
      <c r="F45" s="351"/>
      <c r="G45" s="231" t="s">
        <v>232</v>
      </c>
      <c r="H45" s="351"/>
      <c r="I45" s="351"/>
    </row>
    <row r="46" spans="6:9" ht="24">
      <c r="F46" s="351">
        <v>8</v>
      </c>
      <c r="G46" s="231" t="s">
        <v>240</v>
      </c>
      <c r="H46" s="351">
        <v>0.56</v>
      </c>
      <c r="I46" s="351">
        <v>0.86</v>
      </c>
    </row>
    <row r="47" spans="6:9" ht="24">
      <c r="F47" s="351"/>
      <c r="G47" s="231" t="s">
        <v>241</v>
      </c>
      <c r="H47" s="351"/>
      <c r="I47" s="351"/>
    </row>
    <row r="48" spans="6:9" ht="24">
      <c r="F48" s="351"/>
      <c r="G48" s="231" t="s">
        <v>242</v>
      </c>
      <c r="H48" s="351"/>
      <c r="I48" s="351"/>
    </row>
    <row r="49" spans="6:9" ht="12.75">
      <c r="F49" s="351"/>
      <c r="G49" s="231" t="s">
        <v>237</v>
      </c>
      <c r="H49" s="351"/>
      <c r="I49" s="351"/>
    </row>
    <row r="50" spans="6:9" ht="24">
      <c r="F50" s="351">
        <v>9</v>
      </c>
      <c r="G50" s="231" t="s">
        <v>243</v>
      </c>
      <c r="H50" s="351"/>
      <c r="I50" s="351"/>
    </row>
    <row r="51" spans="6:9" ht="24">
      <c r="F51" s="351"/>
      <c r="G51" s="231" t="s">
        <v>244</v>
      </c>
      <c r="H51" s="351"/>
      <c r="I51" s="351"/>
    </row>
    <row r="52" spans="6:9" ht="24">
      <c r="F52" s="351"/>
      <c r="G52" s="231" t="s">
        <v>245</v>
      </c>
      <c r="H52" s="351"/>
      <c r="I52" s="351"/>
    </row>
    <row r="53" spans="6:9" ht="24">
      <c r="F53" s="351"/>
      <c r="G53" s="231" t="s">
        <v>246</v>
      </c>
      <c r="H53" s="351"/>
      <c r="I53" s="351"/>
    </row>
    <row r="54" spans="6:9" ht="24">
      <c r="F54" s="351">
        <v>9.1</v>
      </c>
      <c r="G54" s="231" t="s">
        <v>247</v>
      </c>
      <c r="H54" s="351">
        <v>0.06</v>
      </c>
      <c r="I54" s="351">
        <v>0.06</v>
      </c>
    </row>
    <row r="55" spans="6:9" ht="12.75">
      <c r="F55" s="351"/>
      <c r="G55" s="231" t="s">
        <v>248</v>
      </c>
      <c r="H55" s="351"/>
      <c r="I55" s="351"/>
    </row>
    <row r="56" spans="6:9" ht="24">
      <c r="F56" s="351">
        <v>9.2</v>
      </c>
      <c r="G56" s="231" t="s">
        <v>249</v>
      </c>
      <c r="H56" s="351">
        <v>0.48</v>
      </c>
      <c r="I56" s="351">
        <v>0.48</v>
      </c>
    </row>
    <row r="57" spans="6:9" ht="12.75">
      <c r="F57" s="351"/>
      <c r="G57" s="231" t="s">
        <v>250</v>
      </c>
      <c r="H57" s="351"/>
      <c r="I57" s="351"/>
    </row>
    <row r="58" spans="6:9" ht="24">
      <c r="F58" s="231">
        <v>9.3</v>
      </c>
      <c r="G58" s="231" t="s">
        <v>251</v>
      </c>
      <c r="H58" s="231">
        <v>0.05</v>
      </c>
      <c r="I58" s="231">
        <v>0.05</v>
      </c>
    </row>
  </sheetData>
  <sheetProtection/>
  <mergeCells count="53">
    <mergeCell ref="A2:A5"/>
    <mergeCell ref="G2:G6"/>
    <mergeCell ref="D2:D5"/>
    <mergeCell ref="C2:C5"/>
    <mergeCell ref="B2:B5"/>
    <mergeCell ref="A10:A11"/>
    <mergeCell ref="C10:C11"/>
    <mergeCell ref="A16:A17"/>
    <mergeCell ref="C16:C17"/>
    <mergeCell ref="D16:D17"/>
    <mergeCell ref="C22:C23"/>
    <mergeCell ref="D22:D23"/>
    <mergeCell ref="A22:A23"/>
    <mergeCell ref="B25:D25"/>
    <mergeCell ref="E28:E30"/>
    <mergeCell ref="C29:C30"/>
    <mergeCell ref="E31:E33"/>
    <mergeCell ref="C32:C33"/>
    <mergeCell ref="E7:E27"/>
    <mergeCell ref="B19:D19"/>
    <mergeCell ref="D10:D11"/>
    <mergeCell ref="B13:D13"/>
    <mergeCell ref="E34:E39"/>
    <mergeCell ref="F7:F14"/>
    <mergeCell ref="H7:H14"/>
    <mergeCell ref="I7:I14"/>
    <mergeCell ref="F15:F26"/>
    <mergeCell ref="H15:H26"/>
    <mergeCell ref="I15:I26"/>
    <mergeCell ref="F27:F35"/>
    <mergeCell ref="H27:H35"/>
    <mergeCell ref="I27:I35"/>
    <mergeCell ref="F36:F37"/>
    <mergeCell ref="H36:H37"/>
    <mergeCell ref="I36:I37"/>
    <mergeCell ref="F38:F42"/>
    <mergeCell ref="H38:H42"/>
    <mergeCell ref="I38:I42"/>
    <mergeCell ref="F43:F45"/>
    <mergeCell ref="H43:H45"/>
    <mergeCell ref="I43:I45"/>
    <mergeCell ref="F46:F49"/>
    <mergeCell ref="H46:H49"/>
    <mergeCell ref="I46:I49"/>
    <mergeCell ref="F56:F57"/>
    <mergeCell ref="H56:H57"/>
    <mergeCell ref="I56:I57"/>
    <mergeCell ref="F50:F53"/>
    <mergeCell ref="H50:H53"/>
    <mergeCell ref="I50:I53"/>
    <mergeCell ref="F54:F55"/>
    <mergeCell ref="H54:H55"/>
    <mergeCell ref="I54:I5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zoomScale="75" zoomScaleNormal="75" zoomScalePageLayoutView="0" workbookViewId="0" topLeftCell="A1">
      <selection activeCell="R12" sqref="R12"/>
    </sheetView>
  </sheetViews>
  <sheetFormatPr defaultColWidth="9.00390625" defaultRowHeight="12.75"/>
  <cols>
    <col min="1" max="1" width="8.75390625" style="292" customWidth="1"/>
    <col min="2" max="2" width="41.625" style="200" customWidth="1"/>
    <col min="3" max="3" width="15.625" style="225" customWidth="1"/>
    <col min="4" max="4" width="15.25390625" style="224" customWidth="1"/>
    <col min="5" max="5" width="14.00390625" style="224" hidden="1" customWidth="1"/>
    <col min="6" max="6" width="14.625" style="224" hidden="1" customWidth="1"/>
    <col min="7" max="7" width="19.00390625" style="227" hidden="1" customWidth="1"/>
    <col min="8" max="8" width="16.875" style="226" customWidth="1"/>
    <col min="9" max="9" width="17.125" style="227" customWidth="1"/>
    <col min="10" max="10" width="15.375" style="227" customWidth="1"/>
    <col min="11" max="12" width="17.375" style="228" customWidth="1"/>
    <col min="13" max="13" width="24.375" style="200" customWidth="1"/>
    <col min="14" max="14" width="13.875" style="211" customWidth="1"/>
    <col min="15" max="15" width="17.25390625" style="216" hidden="1" customWidth="1"/>
    <col min="16" max="16" width="11.00390625" style="200" hidden="1" customWidth="1"/>
    <col min="17" max="16384" width="9.125" style="200" customWidth="1"/>
  </cols>
  <sheetData>
    <row r="1" spans="1:16" s="199" customFormat="1" ht="27.75" customHeight="1" thickBot="1">
      <c r="A1" s="291"/>
      <c r="B1" s="356" t="s">
        <v>275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242"/>
      <c r="P1" s="241"/>
    </row>
    <row r="2" spans="1:16" s="223" customFormat="1" ht="21" customHeight="1">
      <c r="A2" s="246" t="s">
        <v>30</v>
      </c>
      <c r="B2" s="243" t="s">
        <v>1</v>
      </c>
      <c r="C2" s="244" t="s">
        <v>253</v>
      </c>
      <c r="D2" s="244" t="s">
        <v>253</v>
      </c>
      <c r="E2" s="245" t="s">
        <v>153</v>
      </c>
      <c r="F2" s="245" t="s">
        <v>151</v>
      </c>
      <c r="G2" s="245" t="s">
        <v>154</v>
      </c>
      <c r="H2" s="245" t="s">
        <v>153</v>
      </c>
      <c r="I2" s="245" t="s">
        <v>151</v>
      </c>
      <c r="J2" s="245" t="s">
        <v>154</v>
      </c>
      <c r="K2" s="245" t="s">
        <v>158</v>
      </c>
      <c r="L2" s="245" t="s">
        <v>252</v>
      </c>
      <c r="M2" s="246" t="s">
        <v>60</v>
      </c>
      <c r="N2" s="247" t="s">
        <v>109</v>
      </c>
      <c r="O2" s="248" t="s">
        <v>154</v>
      </c>
      <c r="P2" s="241"/>
    </row>
    <row r="3" spans="1:16" s="223" customFormat="1" ht="21" customHeight="1">
      <c r="A3" s="246" t="s">
        <v>31</v>
      </c>
      <c r="B3" s="249"/>
      <c r="C3" s="244" t="s">
        <v>254</v>
      </c>
      <c r="D3" s="244" t="s">
        <v>254</v>
      </c>
      <c r="E3" s="245" t="s">
        <v>148</v>
      </c>
      <c r="F3" s="245" t="s">
        <v>148</v>
      </c>
      <c r="G3" s="245" t="s">
        <v>148</v>
      </c>
      <c r="H3" s="245" t="s">
        <v>140</v>
      </c>
      <c r="I3" s="245" t="s">
        <v>140</v>
      </c>
      <c r="J3" s="245" t="s">
        <v>140</v>
      </c>
      <c r="K3" s="245" t="s">
        <v>151</v>
      </c>
      <c r="L3" s="245" t="s">
        <v>154</v>
      </c>
      <c r="M3" s="246" t="s">
        <v>64</v>
      </c>
      <c r="N3" s="247" t="s">
        <v>110</v>
      </c>
      <c r="O3" s="250" t="s">
        <v>155</v>
      </c>
      <c r="P3" s="241"/>
    </row>
    <row r="4" spans="1:16" s="223" customFormat="1" ht="15">
      <c r="A4" s="246"/>
      <c r="B4" s="249"/>
      <c r="C4" s="244" t="s">
        <v>274</v>
      </c>
      <c r="D4" s="245" t="s">
        <v>273</v>
      </c>
      <c r="E4" s="245" t="s">
        <v>156</v>
      </c>
      <c r="F4" s="245" t="s">
        <v>156</v>
      </c>
      <c r="G4" s="245" t="s">
        <v>156</v>
      </c>
      <c r="H4" s="245" t="s">
        <v>156</v>
      </c>
      <c r="I4" s="245" t="s">
        <v>156</v>
      </c>
      <c r="J4" s="245" t="s">
        <v>156</v>
      </c>
      <c r="K4" s="245" t="s">
        <v>156</v>
      </c>
      <c r="L4" s="245" t="s">
        <v>156</v>
      </c>
      <c r="M4" s="249" t="s">
        <v>125</v>
      </c>
      <c r="N4" s="247" t="s">
        <v>111</v>
      </c>
      <c r="O4" s="251"/>
      <c r="P4" s="241"/>
    </row>
    <row r="5" spans="1:16" s="223" customFormat="1" ht="15.75" thickBot="1">
      <c r="A5" s="246"/>
      <c r="B5" s="249"/>
      <c r="C5" s="244" t="s">
        <v>256</v>
      </c>
      <c r="D5" s="244" t="s">
        <v>255</v>
      </c>
      <c r="E5" s="245"/>
      <c r="F5" s="245"/>
      <c r="G5" s="245"/>
      <c r="H5" s="245"/>
      <c r="I5" s="252"/>
      <c r="J5" s="245"/>
      <c r="K5" s="253"/>
      <c r="L5" s="253"/>
      <c r="M5" s="249"/>
      <c r="N5" s="247" t="s">
        <v>157</v>
      </c>
      <c r="O5" s="254"/>
      <c r="P5" s="241"/>
    </row>
    <row r="6" spans="1:16" s="223" customFormat="1" ht="29.25" customHeight="1" hidden="1" thickBot="1">
      <c r="A6" s="357" t="s">
        <v>272</v>
      </c>
      <c r="B6" s="358"/>
      <c r="C6" s="255" t="e">
        <f>C8+C9+C10+#REF!+C12+C13+C15+C17+C18</f>
        <v>#REF!</v>
      </c>
      <c r="D6" s="255" t="e">
        <f>D8+D9+D10+#REF!+D12+D13+D15+D17+D18</f>
        <v>#REF!</v>
      </c>
      <c r="E6" s="255">
        <v>687587.95</v>
      </c>
      <c r="F6" s="255">
        <v>553570.98</v>
      </c>
      <c r="G6" s="252" t="e">
        <f>E6-F6+#REF!</f>
        <v>#REF!</v>
      </c>
      <c r="H6" s="255"/>
      <c r="I6" s="256"/>
      <c r="J6" s="256">
        <f>H6-I6</f>
        <v>0</v>
      </c>
      <c r="K6" s="256">
        <f>F6+I6</f>
        <v>553570.98</v>
      </c>
      <c r="L6" s="256" t="e">
        <f>J6+G6</f>
        <v>#REF!</v>
      </c>
      <c r="M6" s="257" t="s">
        <v>264</v>
      </c>
      <c r="N6" s="258">
        <f aca="true" t="shared" si="0" ref="N6:N19">E6+H6</f>
        <v>687587.95</v>
      </c>
      <c r="O6" s="259"/>
      <c r="P6" s="241"/>
    </row>
    <row r="7" spans="1:16" s="223" customFormat="1" ht="35.25" customHeight="1" thickBot="1">
      <c r="A7" s="264">
        <v>1</v>
      </c>
      <c r="B7" s="257" t="s">
        <v>287</v>
      </c>
      <c r="C7" s="255">
        <v>0.34</v>
      </c>
      <c r="D7" s="255">
        <v>0.34</v>
      </c>
      <c r="E7" s="255">
        <v>29047.13</v>
      </c>
      <c r="F7" s="255">
        <v>27765.48</v>
      </c>
      <c r="G7" s="252">
        <f>E7-F7</f>
        <v>1281.6500000000015</v>
      </c>
      <c r="H7" s="255">
        <v>0</v>
      </c>
      <c r="I7" s="255">
        <f>H7</f>
        <v>0</v>
      </c>
      <c r="J7" s="255">
        <v>0</v>
      </c>
      <c r="K7" s="256">
        <f>F7+I7</f>
        <v>27765.48</v>
      </c>
      <c r="L7" s="256">
        <f>J7+G7</f>
        <v>1281.6500000000015</v>
      </c>
      <c r="M7" s="257" t="s">
        <v>288</v>
      </c>
      <c r="N7" s="258">
        <f>E7+H7</f>
        <v>29047.13</v>
      </c>
      <c r="O7" s="259"/>
      <c r="P7" s="241"/>
    </row>
    <row r="8" spans="1:16" s="223" customFormat="1" ht="35.25" customHeight="1">
      <c r="A8" s="264">
        <v>1</v>
      </c>
      <c r="B8" s="257" t="s">
        <v>271</v>
      </c>
      <c r="C8" s="255">
        <v>9.59</v>
      </c>
      <c r="D8" s="255">
        <v>10.39</v>
      </c>
      <c r="E8" s="255">
        <v>663927.66</v>
      </c>
      <c r="F8" s="255">
        <v>631092.83</v>
      </c>
      <c r="G8" s="252">
        <f>E8-F8</f>
        <v>32834.830000000075</v>
      </c>
      <c r="H8" s="255">
        <v>98385</v>
      </c>
      <c r="I8" s="255">
        <f>H8</f>
        <v>98385</v>
      </c>
      <c r="J8" s="255">
        <v>0</v>
      </c>
      <c r="K8" s="256">
        <f>F8+I8</f>
        <v>729477.83</v>
      </c>
      <c r="L8" s="256">
        <f>J8+G8</f>
        <v>32834.830000000075</v>
      </c>
      <c r="M8" s="257" t="s">
        <v>264</v>
      </c>
      <c r="N8" s="258">
        <f t="shared" si="0"/>
        <v>762312.66</v>
      </c>
      <c r="O8" s="259"/>
      <c r="P8" s="241"/>
    </row>
    <row r="9" spans="1:16" s="223" customFormat="1" ht="41.25" customHeight="1" thickBot="1">
      <c r="A9" s="246">
        <v>2</v>
      </c>
      <c r="B9" s="277" t="s">
        <v>149</v>
      </c>
      <c r="C9" s="261">
        <v>0.53</v>
      </c>
      <c r="D9" s="261">
        <v>0.56</v>
      </c>
      <c r="E9" s="261">
        <v>40199.64</v>
      </c>
      <c r="F9" s="261">
        <v>40068.28</v>
      </c>
      <c r="G9" s="252">
        <f>E9-F9</f>
        <v>131.36000000000058</v>
      </c>
      <c r="H9" s="261">
        <f>0</f>
        <v>0</v>
      </c>
      <c r="I9" s="252">
        <v>0</v>
      </c>
      <c r="J9" s="252">
        <v>0</v>
      </c>
      <c r="K9" s="252">
        <f>F9+I9</f>
        <v>40068.28</v>
      </c>
      <c r="L9" s="252">
        <f>G9+J9</f>
        <v>131.36000000000058</v>
      </c>
      <c r="M9" s="260" t="s">
        <v>261</v>
      </c>
      <c r="N9" s="262">
        <f t="shared" si="0"/>
        <v>40199.64</v>
      </c>
      <c r="O9" s="263">
        <f>N9-F9</f>
        <v>131.36000000000058</v>
      </c>
      <c r="P9" s="241"/>
    </row>
    <row r="10" spans="1:16" s="223" customFormat="1" ht="18" customHeight="1">
      <c r="A10" s="264">
        <v>3</v>
      </c>
      <c r="B10" s="347" t="s">
        <v>265</v>
      </c>
      <c r="C10" s="349">
        <v>5.08</v>
      </c>
      <c r="D10" s="349">
        <v>5.84</v>
      </c>
      <c r="E10" s="359">
        <v>349627.68</v>
      </c>
      <c r="F10" s="359">
        <v>342632.84</v>
      </c>
      <c r="G10" s="360">
        <f>E10-F10</f>
        <v>6994.839999999967</v>
      </c>
      <c r="H10" s="359">
        <v>53772</v>
      </c>
      <c r="I10" s="360">
        <v>53772</v>
      </c>
      <c r="J10" s="360">
        <f>H10-I10</f>
        <v>0</v>
      </c>
      <c r="K10" s="361">
        <f>F10+I10</f>
        <v>396404.84</v>
      </c>
      <c r="L10" s="361">
        <f>G10+J10</f>
        <v>6994.839999999967</v>
      </c>
      <c r="M10" s="363" t="s">
        <v>159</v>
      </c>
      <c r="N10" s="262">
        <f t="shared" si="0"/>
        <v>403399.68</v>
      </c>
      <c r="O10" s="266"/>
      <c r="P10" s="241"/>
    </row>
    <row r="11" spans="1:16" s="223" customFormat="1" ht="13.5" customHeight="1" thickBot="1">
      <c r="A11" s="267"/>
      <c r="B11" s="348"/>
      <c r="C11" s="350"/>
      <c r="D11" s="350"/>
      <c r="E11" s="359"/>
      <c r="F11" s="359"/>
      <c r="G11" s="360"/>
      <c r="H11" s="359"/>
      <c r="I11" s="360"/>
      <c r="J11" s="360"/>
      <c r="K11" s="362"/>
      <c r="L11" s="362"/>
      <c r="M11" s="364"/>
      <c r="N11" s="262">
        <f t="shared" si="0"/>
        <v>0</v>
      </c>
      <c r="O11" s="254">
        <f>N11-F10</f>
        <v>-342632.84</v>
      </c>
      <c r="P11" s="241"/>
    </row>
    <row r="12" spans="1:16" s="223" customFormat="1" ht="36.75" customHeight="1">
      <c r="A12" s="264">
        <v>4</v>
      </c>
      <c r="B12" s="288" t="s">
        <v>266</v>
      </c>
      <c r="C12" s="294">
        <v>1.41</v>
      </c>
      <c r="D12" s="294">
        <v>1.52</v>
      </c>
      <c r="E12" s="261">
        <v>97359.74</v>
      </c>
      <c r="F12" s="261">
        <v>95674.76</v>
      </c>
      <c r="G12" s="252">
        <f aca="true" t="shared" si="1" ref="G12:G19">E12-F12</f>
        <v>1684.9800000000105</v>
      </c>
      <c r="H12" s="261">
        <v>0</v>
      </c>
      <c r="I12" s="252">
        <v>0</v>
      </c>
      <c r="J12" s="252">
        <f aca="true" t="shared" si="2" ref="J12:J19">H12-I12</f>
        <v>0</v>
      </c>
      <c r="K12" s="252">
        <f aca="true" t="shared" si="3" ref="K12:L18">F12+I12</f>
        <v>95674.76</v>
      </c>
      <c r="L12" s="252">
        <f t="shared" si="3"/>
        <v>1684.9800000000105</v>
      </c>
      <c r="M12" s="268" t="s">
        <v>159</v>
      </c>
      <c r="N12" s="262">
        <f t="shared" si="0"/>
        <v>97359.74</v>
      </c>
      <c r="O12" s="266">
        <f>N12-F12</f>
        <v>1684.9800000000105</v>
      </c>
      <c r="P12" s="241"/>
    </row>
    <row r="13" spans="1:16" s="223" customFormat="1" ht="32.25" customHeight="1">
      <c r="A13" s="267">
        <v>5</v>
      </c>
      <c r="B13" s="288" t="s">
        <v>263</v>
      </c>
      <c r="C13" s="294">
        <v>0.34</v>
      </c>
      <c r="D13" s="294">
        <v>0.34</v>
      </c>
      <c r="E13" s="261">
        <v>15749.02</v>
      </c>
      <c r="F13" s="261">
        <v>15120.91</v>
      </c>
      <c r="G13" s="252">
        <f t="shared" si="1"/>
        <v>628.1100000000006</v>
      </c>
      <c r="H13" s="261">
        <v>0</v>
      </c>
      <c r="I13" s="252">
        <v>0</v>
      </c>
      <c r="J13" s="252">
        <v>0</v>
      </c>
      <c r="K13" s="252">
        <f t="shared" si="3"/>
        <v>15120.91</v>
      </c>
      <c r="L13" s="252">
        <f t="shared" si="3"/>
        <v>628.1100000000006</v>
      </c>
      <c r="M13" s="268" t="s">
        <v>150</v>
      </c>
      <c r="N13" s="262">
        <f t="shared" si="0"/>
        <v>15749.02</v>
      </c>
      <c r="O13" s="251">
        <f>N13-F13</f>
        <v>628.1100000000006</v>
      </c>
      <c r="P13" s="241"/>
    </row>
    <row r="14" spans="1:15" s="293" customFormat="1" ht="30.75" customHeight="1">
      <c r="A14" s="246">
        <v>7</v>
      </c>
      <c r="B14" s="288" t="s">
        <v>280</v>
      </c>
      <c r="C14" s="294">
        <v>5635.09</v>
      </c>
      <c r="D14" s="298">
        <v>5747.79</v>
      </c>
      <c r="E14" s="294">
        <v>302833.46</v>
      </c>
      <c r="F14" s="294">
        <v>278908.5</v>
      </c>
      <c r="G14" s="295">
        <f>C14</f>
        <v>5635.09</v>
      </c>
      <c r="H14" s="295">
        <v>0</v>
      </c>
      <c r="I14" s="294">
        <v>0</v>
      </c>
      <c r="J14" s="296">
        <v>0</v>
      </c>
      <c r="K14" s="296">
        <v>0</v>
      </c>
      <c r="L14" s="298">
        <f>G14</f>
        <v>5635.09</v>
      </c>
      <c r="M14" s="297" t="s">
        <v>279</v>
      </c>
      <c r="N14" s="294">
        <f>E14</f>
        <v>302833.46</v>
      </c>
      <c r="O14" s="241"/>
    </row>
    <row r="15" spans="1:16" s="223" customFormat="1" ht="30.75" customHeight="1">
      <c r="A15" s="264">
        <v>6</v>
      </c>
      <c r="B15" s="288" t="s">
        <v>267</v>
      </c>
      <c r="C15" s="294">
        <v>0.56</v>
      </c>
      <c r="D15" s="294">
        <v>0.65</v>
      </c>
      <c r="E15" s="261">
        <v>39807.58</v>
      </c>
      <c r="F15" s="261">
        <v>38888.31</v>
      </c>
      <c r="G15" s="252">
        <f t="shared" si="1"/>
        <v>919.2700000000041</v>
      </c>
      <c r="H15" s="261">
        <v>0</v>
      </c>
      <c r="I15" s="252">
        <v>0</v>
      </c>
      <c r="J15" s="252">
        <v>0</v>
      </c>
      <c r="K15" s="252">
        <f t="shared" si="3"/>
        <v>38888.31</v>
      </c>
      <c r="L15" s="252">
        <f t="shared" si="3"/>
        <v>919.2700000000041</v>
      </c>
      <c r="M15" s="268" t="s">
        <v>152</v>
      </c>
      <c r="N15" s="262">
        <f t="shared" si="0"/>
        <v>39807.58</v>
      </c>
      <c r="O15" s="251">
        <f>N15-F15</f>
        <v>919.2700000000041</v>
      </c>
      <c r="P15" s="241"/>
    </row>
    <row r="16" spans="1:16" s="223" customFormat="1" ht="30.75" customHeight="1">
      <c r="A16" s="264">
        <v>6</v>
      </c>
      <c r="B16" s="288" t="s">
        <v>289</v>
      </c>
      <c r="C16" s="294">
        <v>2.24</v>
      </c>
      <c r="D16" s="294">
        <v>2.24</v>
      </c>
      <c r="E16" s="261">
        <v>44620.4</v>
      </c>
      <c r="F16" s="261">
        <v>41959.79</v>
      </c>
      <c r="G16" s="252">
        <f>E16-F16</f>
        <v>2660.6100000000006</v>
      </c>
      <c r="H16" s="261">
        <v>0</v>
      </c>
      <c r="I16" s="252">
        <v>0</v>
      </c>
      <c r="J16" s="252">
        <f>H16-I16</f>
        <v>0</v>
      </c>
      <c r="K16" s="252">
        <f>F16+I16</f>
        <v>41959.79</v>
      </c>
      <c r="L16" s="252">
        <f>G16+J16</f>
        <v>2660.6100000000006</v>
      </c>
      <c r="M16" s="268" t="s">
        <v>152</v>
      </c>
      <c r="N16" s="262">
        <f>E16+H16</f>
        <v>44620.4</v>
      </c>
      <c r="O16" s="251">
        <f>N16-F16</f>
        <v>2660.6100000000006</v>
      </c>
      <c r="P16" s="241"/>
    </row>
    <row r="17" spans="1:16" s="223" customFormat="1" ht="27.75" customHeight="1">
      <c r="A17" s="267">
        <v>7</v>
      </c>
      <c r="B17" s="288" t="s">
        <v>268</v>
      </c>
      <c r="C17" s="294">
        <v>3.5</v>
      </c>
      <c r="D17" s="294">
        <v>3.5</v>
      </c>
      <c r="E17" s="261">
        <v>230828.85</v>
      </c>
      <c r="F17" s="261">
        <v>219682.49</v>
      </c>
      <c r="G17" s="252">
        <f t="shared" si="1"/>
        <v>11146.360000000015</v>
      </c>
      <c r="H17" s="261">
        <v>0</v>
      </c>
      <c r="I17" s="252">
        <v>0</v>
      </c>
      <c r="J17" s="252">
        <f t="shared" si="2"/>
        <v>0</v>
      </c>
      <c r="K17" s="252">
        <f>F17+I17</f>
        <v>219682.49</v>
      </c>
      <c r="L17" s="252">
        <f t="shared" si="3"/>
        <v>11146.360000000015</v>
      </c>
      <c r="M17" s="260" t="s">
        <v>160</v>
      </c>
      <c r="N17" s="262">
        <f t="shared" si="0"/>
        <v>230828.85</v>
      </c>
      <c r="O17" s="251">
        <f>N17-F17</f>
        <v>11146.360000000015</v>
      </c>
      <c r="P17" s="241"/>
    </row>
    <row r="18" spans="1:16" s="223" customFormat="1" ht="27.75" customHeight="1">
      <c r="A18" s="264">
        <v>8</v>
      </c>
      <c r="B18" s="257" t="s">
        <v>286</v>
      </c>
      <c r="C18" s="300">
        <v>1.18</v>
      </c>
      <c r="D18" s="300">
        <v>2.29</v>
      </c>
      <c r="E18" s="265">
        <v>37554.48</v>
      </c>
      <c r="F18" s="265">
        <v>35627.05</v>
      </c>
      <c r="G18" s="252">
        <f t="shared" si="1"/>
        <v>1927.4300000000003</v>
      </c>
      <c r="H18" s="265">
        <v>17086</v>
      </c>
      <c r="I18" s="256">
        <f>H18</f>
        <v>17086</v>
      </c>
      <c r="J18" s="256">
        <f t="shared" si="2"/>
        <v>0</v>
      </c>
      <c r="K18" s="256">
        <f t="shared" si="3"/>
        <v>52713.05</v>
      </c>
      <c r="L18" s="256">
        <f t="shared" si="3"/>
        <v>1927.4300000000003</v>
      </c>
      <c r="M18" s="269" t="s">
        <v>159</v>
      </c>
      <c r="N18" s="258">
        <f t="shared" si="0"/>
        <v>54640.48</v>
      </c>
      <c r="O18" s="251"/>
      <c r="P18" s="241"/>
    </row>
    <row r="19" spans="1:16" s="223" customFormat="1" ht="27.75" customHeight="1">
      <c r="A19" s="267">
        <v>9</v>
      </c>
      <c r="B19" s="257" t="s">
        <v>285</v>
      </c>
      <c r="C19" s="300">
        <v>119</v>
      </c>
      <c r="D19" s="300">
        <v>119</v>
      </c>
      <c r="E19" s="265">
        <v>33796</v>
      </c>
      <c r="F19" s="265">
        <v>43537.2</v>
      </c>
      <c r="G19" s="252">
        <f t="shared" si="1"/>
        <v>-9741.199999999997</v>
      </c>
      <c r="H19" s="265">
        <v>0</v>
      </c>
      <c r="I19" s="256">
        <v>0</v>
      </c>
      <c r="J19" s="256">
        <f t="shared" si="2"/>
        <v>0</v>
      </c>
      <c r="K19" s="256">
        <f>F19+I19</f>
        <v>43537.2</v>
      </c>
      <c r="L19" s="256">
        <f>G19+J19</f>
        <v>-9741.199999999997</v>
      </c>
      <c r="M19" s="269" t="s">
        <v>159</v>
      </c>
      <c r="N19" s="258">
        <f t="shared" si="0"/>
        <v>33796</v>
      </c>
      <c r="O19" s="251"/>
      <c r="P19" s="241"/>
    </row>
    <row r="20" spans="1:16" s="223" customFormat="1" ht="27.75" customHeight="1" thickBot="1">
      <c r="A20" s="267">
        <v>9</v>
      </c>
      <c r="B20" s="257" t="s">
        <v>0</v>
      </c>
      <c r="C20" s="300">
        <v>59.3</v>
      </c>
      <c r="D20" s="300">
        <v>63.45</v>
      </c>
      <c r="E20" s="265">
        <v>12301.95</v>
      </c>
      <c r="F20" s="265">
        <v>11090.05</v>
      </c>
      <c r="G20" s="252">
        <f>E20-F20</f>
        <v>1211.9000000000015</v>
      </c>
      <c r="H20" s="265">
        <v>0</v>
      </c>
      <c r="I20" s="256">
        <v>0</v>
      </c>
      <c r="J20" s="256">
        <f>H20-I20</f>
        <v>0</v>
      </c>
      <c r="K20" s="256">
        <f>F20+I20</f>
        <v>11090.05</v>
      </c>
      <c r="L20" s="256">
        <f>G20+J20</f>
        <v>1211.9000000000015</v>
      </c>
      <c r="M20" s="269" t="s">
        <v>159</v>
      </c>
      <c r="N20" s="258">
        <f>E20+H20</f>
        <v>12301.95</v>
      </c>
      <c r="O20" s="251"/>
      <c r="P20" s="241"/>
    </row>
    <row r="21" spans="1:16" s="223" customFormat="1" ht="18" customHeight="1" thickBot="1">
      <c r="A21" s="246"/>
      <c r="B21" s="289" t="s">
        <v>147</v>
      </c>
      <c r="C21" s="270" t="s">
        <v>257</v>
      </c>
      <c r="D21" s="270" t="s">
        <v>257</v>
      </c>
      <c r="E21" s="271">
        <f aca="true" t="shared" si="4" ref="E21:L21">SUM(E9:E18)+E8</f>
        <v>1822508.5100000002</v>
      </c>
      <c r="F21" s="271">
        <f t="shared" si="4"/>
        <v>1739655.7600000002</v>
      </c>
      <c r="G21" s="271">
        <f t="shared" si="4"/>
        <v>64562.88000000008</v>
      </c>
      <c r="H21" s="271">
        <f t="shared" si="4"/>
        <v>169243</v>
      </c>
      <c r="I21" s="271">
        <f t="shared" si="4"/>
        <v>169243</v>
      </c>
      <c r="J21" s="271">
        <f t="shared" si="4"/>
        <v>0</v>
      </c>
      <c r="K21" s="271">
        <f t="shared" si="4"/>
        <v>1629990.2600000002</v>
      </c>
      <c r="L21" s="271">
        <f t="shared" si="4"/>
        <v>64562.88000000008</v>
      </c>
      <c r="M21" s="272"/>
      <c r="N21" s="273">
        <f>SUM(N9:N18)+N8</f>
        <v>1991751.5100000002</v>
      </c>
      <c r="O21" s="274">
        <f>SUM(O9:O20)+O8</f>
        <v>-325462.15</v>
      </c>
      <c r="P21" s="241"/>
    </row>
    <row r="22" spans="1:16" s="223" customFormat="1" ht="18" customHeight="1" thickBot="1">
      <c r="A22" s="246">
        <v>10</v>
      </c>
      <c r="B22" s="249" t="s">
        <v>277</v>
      </c>
      <c r="C22" s="261">
        <v>1541.78</v>
      </c>
      <c r="D22" s="261">
        <v>1621.95</v>
      </c>
      <c r="E22" s="261">
        <v>1495061.75</v>
      </c>
      <c r="F22" s="261">
        <v>1427686.81</v>
      </c>
      <c r="G22" s="252">
        <f>E22-F22</f>
        <v>67374.93999999994</v>
      </c>
      <c r="H22" s="261">
        <v>519294</v>
      </c>
      <c r="I22" s="252">
        <v>519294</v>
      </c>
      <c r="J22" s="252">
        <f>H22-I22</f>
        <v>0</v>
      </c>
      <c r="K22" s="252">
        <f>F22+I22</f>
        <v>1946980.81</v>
      </c>
      <c r="L22" s="252">
        <f>G22+J22</f>
        <v>67374.93999999994</v>
      </c>
      <c r="M22" s="249" t="s">
        <v>290</v>
      </c>
      <c r="N22" s="262">
        <f>E22+H22</f>
        <v>2014355.75</v>
      </c>
      <c r="O22" s="266">
        <f>N22-F22</f>
        <v>586668.94</v>
      </c>
      <c r="P22" s="275"/>
    </row>
    <row r="23" spans="1:16" s="223" customFormat="1" ht="18" customHeight="1" thickBot="1">
      <c r="A23" s="246">
        <v>10</v>
      </c>
      <c r="B23" s="249" t="s">
        <v>278</v>
      </c>
      <c r="C23" s="261">
        <v>92.51</v>
      </c>
      <c r="D23" s="261">
        <v>97.32</v>
      </c>
      <c r="E23" s="261">
        <f>130641.4+3439.54</f>
        <v>134080.94</v>
      </c>
      <c r="F23" s="261">
        <f>129290.03+3181.7</f>
        <v>132471.73</v>
      </c>
      <c r="G23" s="252">
        <f>E23-F23</f>
        <v>1609.2099999999919</v>
      </c>
      <c r="H23" s="261">
        <v>35217</v>
      </c>
      <c r="I23" s="252">
        <v>35217</v>
      </c>
      <c r="J23" s="252">
        <f>H23-I23</f>
        <v>0</v>
      </c>
      <c r="K23" s="252">
        <f>F23+I23</f>
        <v>167688.73</v>
      </c>
      <c r="L23" s="252">
        <f>G23+J23</f>
        <v>1609.2099999999919</v>
      </c>
      <c r="M23" s="249" t="s">
        <v>290</v>
      </c>
      <c r="N23" s="262">
        <f>E23+H23</f>
        <v>169297.94</v>
      </c>
      <c r="O23" s="266">
        <f>N23-F23</f>
        <v>36826.20999999999</v>
      </c>
      <c r="P23" s="275"/>
    </row>
    <row r="24" spans="1:16" s="223" customFormat="1" ht="18" customHeight="1">
      <c r="A24" s="246">
        <v>10</v>
      </c>
      <c r="B24" s="249" t="s">
        <v>258</v>
      </c>
      <c r="C24" s="261">
        <v>23.13</v>
      </c>
      <c r="D24" s="261">
        <v>25.44</v>
      </c>
      <c r="E24" s="261">
        <f>421288.2+6208.51</f>
        <v>427496.71</v>
      </c>
      <c r="F24" s="261">
        <f>385961.75+6315.05</f>
        <v>392276.8</v>
      </c>
      <c r="G24" s="252">
        <f>E24-F24</f>
        <v>35219.91000000003</v>
      </c>
      <c r="H24" s="261">
        <v>21019</v>
      </c>
      <c r="I24" s="252">
        <v>21019</v>
      </c>
      <c r="J24" s="252">
        <f>H24-I24</f>
        <v>0</v>
      </c>
      <c r="K24" s="252">
        <f aca="true" t="shared" si="5" ref="K24:L26">F24+I24</f>
        <v>413295.8</v>
      </c>
      <c r="L24" s="252">
        <f t="shared" si="5"/>
        <v>35219.91000000003</v>
      </c>
      <c r="M24" s="249" t="s">
        <v>291</v>
      </c>
      <c r="N24" s="262">
        <f>E24+H24</f>
        <v>448515.71</v>
      </c>
      <c r="O24" s="266">
        <f>N24-F24</f>
        <v>56238.91000000003</v>
      </c>
      <c r="P24" s="275"/>
    </row>
    <row r="25" spans="1:16" s="223" customFormat="1" ht="18" customHeight="1" thickBot="1">
      <c r="A25" s="246">
        <v>11</v>
      </c>
      <c r="B25" s="249" t="s">
        <v>259</v>
      </c>
      <c r="C25" s="261">
        <v>23.13</v>
      </c>
      <c r="D25" s="261">
        <v>25.44</v>
      </c>
      <c r="E25" s="261">
        <v>412241.44</v>
      </c>
      <c r="F25" s="261">
        <v>384270.12</v>
      </c>
      <c r="G25" s="252">
        <f>E25-F25</f>
        <v>27971.320000000007</v>
      </c>
      <c r="H25" s="261">
        <v>56236</v>
      </c>
      <c r="I25" s="276">
        <v>56236</v>
      </c>
      <c r="J25" s="252">
        <f>H25-I25</f>
        <v>0</v>
      </c>
      <c r="K25" s="252">
        <f t="shared" si="5"/>
        <v>440506.12</v>
      </c>
      <c r="L25" s="252">
        <f t="shared" si="5"/>
        <v>27971.320000000007</v>
      </c>
      <c r="M25" s="249" t="s">
        <v>291</v>
      </c>
      <c r="N25" s="262">
        <f>E25+H25</f>
        <v>468477.44</v>
      </c>
      <c r="O25" s="254">
        <f>N25-F25</f>
        <v>84207.32</v>
      </c>
      <c r="P25" s="241"/>
    </row>
    <row r="26" spans="1:16" s="223" customFormat="1" ht="35.25" customHeight="1">
      <c r="A26" s="246">
        <v>12</v>
      </c>
      <c r="B26" s="290" t="s">
        <v>260</v>
      </c>
      <c r="C26" s="261">
        <v>3.84</v>
      </c>
      <c r="D26" s="261">
        <v>4.12</v>
      </c>
      <c r="E26" s="261">
        <v>24136.92</v>
      </c>
      <c r="F26" s="261">
        <v>23309.81</v>
      </c>
      <c r="G26" s="252">
        <f>E26-F26</f>
        <v>827.109999999997</v>
      </c>
      <c r="H26" s="261">
        <v>4500</v>
      </c>
      <c r="I26" s="276">
        <v>4500</v>
      </c>
      <c r="J26" s="252">
        <f>H26-I26</f>
        <v>0</v>
      </c>
      <c r="K26" s="252">
        <f t="shared" si="5"/>
        <v>27809.81</v>
      </c>
      <c r="L26" s="252">
        <f t="shared" si="5"/>
        <v>827.109999999997</v>
      </c>
      <c r="M26" s="277" t="s">
        <v>292</v>
      </c>
      <c r="N26" s="262">
        <f>E26+H26</f>
        <v>28636.92</v>
      </c>
      <c r="O26" s="266">
        <f>N26-F26</f>
        <v>5327.109999999997</v>
      </c>
      <c r="P26" s="241"/>
    </row>
    <row r="27" spans="1:16" s="223" customFormat="1" ht="18" customHeight="1" thickBot="1">
      <c r="A27" s="246"/>
      <c r="B27" s="289" t="s">
        <v>161</v>
      </c>
      <c r="C27" s="271" t="s">
        <v>93</v>
      </c>
      <c r="D27" s="271" t="s">
        <v>93</v>
      </c>
      <c r="E27" s="271">
        <f aca="true" t="shared" si="6" ref="E27:L27">SUM(E24:E26)</f>
        <v>863875.0700000001</v>
      </c>
      <c r="F27" s="271">
        <f t="shared" si="6"/>
        <v>799856.73</v>
      </c>
      <c r="G27" s="271">
        <f t="shared" si="6"/>
        <v>64018.34000000004</v>
      </c>
      <c r="H27" s="271">
        <f t="shared" si="6"/>
        <v>81755</v>
      </c>
      <c r="I27" s="271">
        <f t="shared" si="6"/>
        <v>81755</v>
      </c>
      <c r="J27" s="271">
        <f t="shared" si="6"/>
        <v>0</v>
      </c>
      <c r="K27" s="271">
        <f t="shared" si="6"/>
        <v>881611.73</v>
      </c>
      <c r="L27" s="271">
        <f t="shared" si="6"/>
        <v>64018.34000000004</v>
      </c>
      <c r="M27" s="272"/>
      <c r="N27" s="278">
        <f>SUM(N24:N26)</f>
        <v>945630.0700000001</v>
      </c>
      <c r="O27" s="254"/>
      <c r="P27" s="241"/>
    </row>
    <row r="28" spans="1:16" s="223" customFormat="1" ht="18" customHeight="1" thickBot="1">
      <c r="A28" s="246"/>
      <c r="B28" s="243" t="s">
        <v>77</v>
      </c>
      <c r="C28" s="245" t="s">
        <v>93</v>
      </c>
      <c r="D28" s="245" t="s">
        <v>93</v>
      </c>
      <c r="E28" s="245">
        <f aca="true" t="shared" si="7" ref="E28:L28">E21+E27</f>
        <v>2686383.58</v>
      </c>
      <c r="F28" s="245">
        <f t="shared" si="7"/>
        <v>2539512.49</v>
      </c>
      <c r="G28" s="245">
        <f t="shared" si="7"/>
        <v>128581.22000000012</v>
      </c>
      <c r="H28" s="245">
        <f t="shared" si="7"/>
        <v>250998</v>
      </c>
      <c r="I28" s="245">
        <f t="shared" si="7"/>
        <v>250998</v>
      </c>
      <c r="J28" s="245">
        <f t="shared" si="7"/>
        <v>0</v>
      </c>
      <c r="K28" s="245">
        <f t="shared" si="7"/>
        <v>2511601.99</v>
      </c>
      <c r="L28" s="245">
        <f t="shared" si="7"/>
        <v>128581.22000000012</v>
      </c>
      <c r="M28" s="249"/>
      <c r="N28" s="247">
        <f>SUM(N21:N26)</f>
        <v>5121035.2700000005</v>
      </c>
      <c r="O28" s="274">
        <f>SUM(O21:O27)</f>
        <v>443806.3399999999</v>
      </c>
      <c r="P28" s="241"/>
    </row>
    <row r="29" spans="1:16" s="199" customFormat="1" ht="15" hidden="1">
      <c r="A29" s="365" t="s">
        <v>262</v>
      </c>
      <c r="B29" s="365"/>
      <c r="C29" s="365"/>
      <c r="D29" s="365"/>
      <c r="E29" s="365"/>
      <c r="F29" s="365"/>
      <c r="G29" s="365"/>
      <c r="H29" s="279"/>
      <c r="I29" s="367">
        <v>186515.87</v>
      </c>
      <c r="J29" s="280"/>
      <c r="K29" s="281"/>
      <c r="L29" s="281"/>
      <c r="M29" s="282"/>
      <c r="N29" s="283"/>
      <c r="O29" s="284"/>
      <c r="P29" s="241"/>
    </row>
    <row r="30" spans="1:16" s="199" customFormat="1" ht="15" hidden="1">
      <c r="A30" s="366"/>
      <c r="B30" s="366"/>
      <c r="C30" s="366"/>
      <c r="D30" s="366"/>
      <c r="E30" s="366"/>
      <c r="F30" s="366"/>
      <c r="G30" s="366"/>
      <c r="H30" s="279"/>
      <c r="I30" s="367"/>
      <c r="J30" s="280"/>
      <c r="K30" s="281"/>
      <c r="L30" s="281"/>
      <c r="M30" s="282"/>
      <c r="N30" s="283"/>
      <c r="O30" s="284"/>
      <c r="P30" s="241"/>
    </row>
    <row r="31" spans="1:16" ht="44.25" customHeight="1" hidden="1">
      <c r="A31" s="366"/>
      <c r="B31" s="366"/>
      <c r="C31" s="366"/>
      <c r="D31" s="366"/>
      <c r="E31" s="366"/>
      <c r="F31" s="366"/>
      <c r="G31" s="366"/>
      <c r="H31" s="285"/>
      <c r="I31" s="285"/>
      <c r="J31" s="285"/>
      <c r="K31" s="286"/>
      <c r="L31" s="286"/>
      <c r="M31" s="241"/>
      <c r="N31" s="287"/>
      <c r="O31" s="242"/>
      <c r="P31" s="241"/>
    </row>
    <row r="32" ht="12.75">
      <c r="B32" s="201"/>
    </row>
    <row r="36" ht="12.75">
      <c r="J36" s="228"/>
    </row>
  </sheetData>
  <sheetProtection/>
  <mergeCells count="16">
    <mergeCell ref="J10:J11"/>
    <mergeCell ref="K10:K11"/>
    <mergeCell ref="L10:L11"/>
    <mergeCell ref="M10:M11"/>
    <mergeCell ref="A29:G31"/>
    <mergeCell ref="I29:I30"/>
    <mergeCell ref="B1:N1"/>
    <mergeCell ref="A6:B6"/>
    <mergeCell ref="B10:B11"/>
    <mergeCell ref="C10:C11"/>
    <mergeCell ref="D10:D11"/>
    <mergeCell ref="E10:E11"/>
    <mergeCell ref="F10:F11"/>
    <mergeCell ref="G10:G11"/>
    <mergeCell ref="H10:H11"/>
    <mergeCell ref="I10:I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</cp:lastModifiedBy>
  <cp:lastPrinted>2016-02-10T11:55:52Z</cp:lastPrinted>
  <dcterms:created xsi:type="dcterms:W3CDTF">2010-03-19T07:34:08Z</dcterms:created>
  <dcterms:modified xsi:type="dcterms:W3CDTF">2017-04-25T07:53:37Z</dcterms:modified>
  <cp:category/>
  <cp:version/>
  <cp:contentType/>
  <cp:contentStatus/>
</cp:coreProperties>
</file>