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5550" windowWidth="19170" windowHeight="5595" firstSheet="1" activeTab="1"/>
  </bookViews>
  <sheets>
    <sheet name="Лист1" sheetId="1" state="hidden" r:id="rId1"/>
    <sheet name="2012" sheetId="2" r:id="rId2"/>
    <sheet name="2009" sheetId="3" state="hidden" r:id="rId3"/>
  </sheets>
  <definedNames/>
  <calcPr fullCalcOnLoad="1"/>
</workbook>
</file>

<file path=xl/comments3.xml><?xml version="1.0" encoding="utf-8"?>
<comments xmlns="http://schemas.openxmlformats.org/spreadsheetml/2006/main">
  <authors>
    <author>Бух</author>
  </authors>
  <commentList>
    <comment ref="R10" authorId="0">
      <text>
        <r>
          <rPr>
            <b/>
            <sz val="8"/>
            <rFont val="Tahoma"/>
            <family val="0"/>
          </rPr>
          <t>Бух:</t>
        </r>
        <r>
          <rPr>
            <sz val="8"/>
            <rFont val="Tahoma"/>
            <family val="0"/>
          </rPr>
          <t xml:space="preserve">
2095*4мес=8380
2280*8мес=18240
Всего:26620</t>
        </r>
      </text>
    </comment>
    <comment ref="R11" authorId="0">
      <text>
        <r>
          <rPr>
            <b/>
            <sz val="8"/>
            <rFont val="Tahoma"/>
            <family val="0"/>
          </rPr>
          <t>Бух:</t>
        </r>
        <r>
          <rPr>
            <sz val="8"/>
            <rFont val="Tahoma"/>
            <family val="0"/>
          </rPr>
          <t xml:space="preserve">
30000 мелк.рем.кровли
31640 ремонт теплоцентра
5000 ящики(мат.3510)
3510
 ВСЕГО: 70150
Ир.Георг. Сказала уменьшить до 28000</t>
        </r>
      </text>
    </comment>
    <comment ref="R14" authorId="0">
      <text>
        <r>
          <rPr>
            <b/>
            <sz val="8"/>
            <rFont val="Tahoma"/>
            <family val="0"/>
          </rPr>
          <t>Бух:</t>
        </r>
        <r>
          <rPr>
            <sz val="8"/>
            <rFont val="Tahoma"/>
            <family val="0"/>
          </rPr>
          <t xml:space="preserve">
2060,39*4мес=8241,56
2208,26*2мес=4416,52
Всего:12658,08</t>
        </r>
      </text>
    </comment>
  </commentList>
</comments>
</file>

<file path=xl/sharedStrings.xml><?xml version="1.0" encoding="utf-8"?>
<sst xmlns="http://schemas.openxmlformats.org/spreadsheetml/2006/main" count="344" uniqueCount="201">
  <si>
    <t>Радио</t>
  </si>
  <si>
    <t>Наименование  услуги</t>
  </si>
  <si>
    <t>Тариф</t>
  </si>
  <si>
    <t>в руб.</t>
  </si>
  <si>
    <t>Вид  начисления</t>
  </si>
  <si>
    <t>(кв.м., чел., кв-ра)</t>
  </si>
  <si>
    <t xml:space="preserve">                      ТАБЛИЦА  СТАВОК  И  УСЛУГ</t>
  </si>
  <si>
    <t>Содержание  придомовой  территории</t>
  </si>
  <si>
    <t>Очистка  мусоропроводов</t>
  </si>
  <si>
    <t>Уборка  лестничных  клеток</t>
  </si>
  <si>
    <t>Содержание  и ремонт ПЗУ</t>
  </si>
  <si>
    <t>с человека</t>
  </si>
  <si>
    <t>горячее водоснабжение</t>
  </si>
  <si>
    <t>Отопление</t>
  </si>
  <si>
    <t>Газ</t>
  </si>
  <si>
    <t>Телетрансляция</t>
  </si>
  <si>
    <t>с общей площади</t>
  </si>
  <si>
    <t>За банковское обслуживание</t>
  </si>
  <si>
    <t>с квартиры</t>
  </si>
  <si>
    <t>На содержание ТСЖ</t>
  </si>
  <si>
    <t>На  капитальный  ремонт  здания</t>
  </si>
  <si>
    <t>Услуги ВЦКП</t>
  </si>
  <si>
    <t>Содержание  общего  имущества</t>
  </si>
  <si>
    <t>многоквартирного  дома</t>
  </si>
  <si>
    <t>Текущий  ремонт общего имущества</t>
  </si>
  <si>
    <t>многоквартирных домов</t>
  </si>
  <si>
    <t>Вывоз  твердых бытовых отходов</t>
  </si>
  <si>
    <t>Техническое обслуживание   и  ремонт лифтов</t>
  </si>
  <si>
    <t>счетчики</t>
  </si>
  <si>
    <t>м3</t>
  </si>
  <si>
    <t xml:space="preserve">№ </t>
  </si>
  <si>
    <t>п/п</t>
  </si>
  <si>
    <t>м2</t>
  </si>
  <si>
    <t xml:space="preserve">Начисляется </t>
  </si>
  <si>
    <t>в месяц</t>
  </si>
  <si>
    <t>с общей площади*</t>
  </si>
  <si>
    <t>Количество квартир</t>
  </si>
  <si>
    <t>Проживает  (чел)</t>
  </si>
  <si>
    <t>Прописано (чел)</t>
  </si>
  <si>
    <t xml:space="preserve">отапливаемая площадь </t>
  </si>
  <si>
    <t>жилые помещ</t>
  </si>
  <si>
    <t>нежилые</t>
  </si>
  <si>
    <t xml:space="preserve">жилые и </t>
  </si>
  <si>
    <t>Холодное  водоснабжение и канализация</t>
  </si>
  <si>
    <t>ООО "УК "Петербургский Дом"</t>
  </si>
  <si>
    <t>Адрес:  С-Петербург, Дунайский пр. д.3.к.2</t>
  </si>
  <si>
    <t>Общая площадь дома  ( этажей)</t>
  </si>
  <si>
    <t>ООО "УК "Петербургский Дом"  ___________________  Васильева И.Х.</t>
  </si>
  <si>
    <t>Наименование ТСЖ  : Пулковский Меридиан</t>
  </si>
  <si>
    <t xml:space="preserve">поставщик </t>
  </si>
  <si>
    <t>услуги</t>
  </si>
  <si>
    <t>Санкт-Петербург,7-я Красноармейская д.18</t>
  </si>
  <si>
    <t>ТСЖ "7-я Красноармейская д.18</t>
  </si>
  <si>
    <t>м2                    2900</t>
  </si>
  <si>
    <t>Нежилые помещения</t>
  </si>
  <si>
    <t xml:space="preserve">                      с  01  сентября 2009 года по 31декабря 2009 года</t>
  </si>
  <si>
    <t>нет</t>
  </si>
  <si>
    <t>Управленческие расходы</t>
  </si>
  <si>
    <t>Общая площадь дома  (этажей)</t>
  </si>
  <si>
    <t xml:space="preserve">Начислено </t>
  </si>
  <si>
    <t>Поставщики</t>
  </si>
  <si>
    <t>№</t>
  </si>
  <si>
    <t>Услуги</t>
  </si>
  <si>
    <t>Разница</t>
  </si>
  <si>
    <t>услуг</t>
  </si>
  <si>
    <t>договора</t>
  </si>
  <si>
    <t>поставщиков</t>
  </si>
  <si>
    <t>по ведом.</t>
  </si>
  <si>
    <t>сентябрь</t>
  </si>
  <si>
    <t>октябрь</t>
  </si>
  <si>
    <t>ноябрь</t>
  </si>
  <si>
    <t>декабрь</t>
  </si>
  <si>
    <t>январь</t>
  </si>
  <si>
    <t>февраль</t>
  </si>
  <si>
    <t>по договорам</t>
  </si>
  <si>
    <t>ВЦКП</t>
  </si>
  <si>
    <t>УК "ПД"</t>
  </si>
  <si>
    <t>ИТОГО:</t>
  </si>
  <si>
    <t>Васильева И.Х.</t>
  </si>
  <si>
    <t>Содержание и ремонт лифтов</t>
  </si>
  <si>
    <t>ПЗУ</t>
  </si>
  <si>
    <t>Управление м\к домом</t>
  </si>
  <si>
    <t>ВСЕГО ао Жилищным услугам</t>
  </si>
  <si>
    <t>Электроснабжение МОП</t>
  </si>
  <si>
    <t>Холодное водоснабжение</t>
  </si>
  <si>
    <t>Канализование холодной воды</t>
  </si>
  <si>
    <t>Канализование горячей воды</t>
  </si>
  <si>
    <t>Горячее водоснабжение</t>
  </si>
  <si>
    <t>за куб.</t>
  </si>
  <si>
    <t>с 01.09.09</t>
  </si>
  <si>
    <t>с 01.01.10</t>
  </si>
  <si>
    <t xml:space="preserve">в 2009г </t>
  </si>
  <si>
    <t>с общей пл.</t>
  </si>
  <si>
    <t xml:space="preserve"> </t>
  </si>
  <si>
    <t>ТСЖ "7-я Рота"  ___________________  Семенова Т.А.</t>
  </si>
  <si>
    <t>Содержание и ремонт сист.газосн.</t>
  </si>
  <si>
    <t>Генеральный директор ООО "УК "Петербургский Дом"</t>
  </si>
  <si>
    <t>в 2010г.</t>
  </si>
  <si>
    <t>ООО"ПетербургГаз"</t>
  </si>
  <si>
    <t>от 01.09.2009</t>
  </si>
  <si>
    <t>от 01.01.2009</t>
  </si>
  <si>
    <t>ООО"ОТИС Лифт"</t>
  </si>
  <si>
    <t>ГУП "Водоканал СПб"</t>
  </si>
  <si>
    <t xml:space="preserve">07-68483/10-ЖК </t>
  </si>
  <si>
    <t>ОАО "ТГК №1"</t>
  </si>
  <si>
    <t>№7922</t>
  </si>
  <si>
    <t>ООО"Петербургрегионгаз"</t>
  </si>
  <si>
    <t>№1.ВД.00744</t>
  </si>
  <si>
    <t>№2166</t>
  </si>
  <si>
    <t xml:space="preserve">Услуги </t>
  </si>
  <si>
    <t>поставщика</t>
  </si>
  <si>
    <t>за период</t>
  </si>
  <si>
    <t>отчета</t>
  </si>
  <si>
    <t>1 парадная</t>
  </si>
  <si>
    <t>в стадии заключения</t>
  </si>
  <si>
    <t>накопленные средства</t>
  </si>
  <si>
    <t>за 1 чел.</t>
  </si>
  <si>
    <t>Проживает</t>
  </si>
  <si>
    <t>11.14/199.86</t>
  </si>
  <si>
    <t>13.15/235.90</t>
  </si>
  <si>
    <t>47.74/217.69</t>
  </si>
  <si>
    <t>55.86/254.72</t>
  </si>
  <si>
    <t>за куб./1 чел</t>
  </si>
  <si>
    <t>планово</t>
  </si>
  <si>
    <t>СМЕТА доходов и расходов с 01.09.09г. по 28.02.2010г.</t>
  </si>
  <si>
    <t>.</t>
  </si>
  <si>
    <t>без февраля</t>
  </si>
  <si>
    <t>ООО"Конфидент-Сервис"</t>
  </si>
  <si>
    <t>Расходы на текущий ремонт</t>
  </si>
  <si>
    <t xml:space="preserve">Очистка кровили </t>
  </si>
  <si>
    <t>Ремонт стояка ЦО парад. №1</t>
  </si>
  <si>
    <t>(по ванным комнатам)</t>
  </si>
  <si>
    <r>
      <t>Электроснабжение МОП</t>
    </r>
    <r>
      <rPr>
        <sz val="10"/>
        <rFont val="Arial Cyr"/>
        <family val="0"/>
      </rPr>
      <t xml:space="preserve"> не начислялось.  ЖКС №1 выставлены счета с опозданием за период с 01.09.2009 по 31.01.2010 на сумму 70375.22</t>
    </r>
  </si>
  <si>
    <t>Счета включают</t>
  </si>
  <si>
    <t>эл.снабжение лифтов</t>
  </si>
  <si>
    <t>эл.снабжение теплоцентра</t>
  </si>
  <si>
    <t>освещение МОП</t>
  </si>
  <si>
    <t>столярная мастерская ЖКС №1</t>
  </si>
  <si>
    <t>подвальное помещение (сауна)</t>
  </si>
  <si>
    <t>спецподвал</t>
  </si>
  <si>
    <t>Нежилой фонд</t>
  </si>
  <si>
    <t>21.64/23.80</t>
  </si>
  <si>
    <t>9746.66/10719.52</t>
  </si>
  <si>
    <t xml:space="preserve">Общая площадь </t>
  </si>
  <si>
    <t>начислено за отчетный период</t>
  </si>
  <si>
    <r>
      <t>Наименование ТСЖ  :</t>
    </r>
    <r>
      <rPr>
        <b/>
        <u val="single"/>
        <sz val="9"/>
        <rFont val="Arial"/>
        <family val="2"/>
      </rPr>
      <t xml:space="preserve"> "7 Рота"</t>
    </r>
  </si>
  <si>
    <r>
      <t>Адрес:</t>
    </r>
    <r>
      <rPr>
        <b/>
        <u val="singleAccounting"/>
        <sz val="9"/>
        <rFont val="Arial"/>
        <family val="2"/>
      </rPr>
      <t xml:space="preserve"> 7 Красноармейская ул.д.18</t>
    </r>
  </si>
  <si>
    <t>ВСЕГО по Жилищным услугам</t>
  </si>
  <si>
    <t>2.55/1.55</t>
  </si>
  <si>
    <t>ОАО "Петербургская Сбытовая Компания"</t>
  </si>
  <si>
    <t>Общая площадь дома  (этажей) м2</t>
  </si>
  <si>
    <t>Жилой фонд</t>
  </si>
  <si>
    <t>Уборка и сан.очистка зем.уч.</t>
  </si>
  <si>
    <t>№35217 от 28.06.2010.</t>
  </si>
  <si>
    <t>ООО "Компания АНБС"</t>
  </si>
  <si>
    <t>Поступления</t>
  </si>
  <si>
    <t xml:space="preserve"> в т.ч. Уборка  лестничных  клеток</t>
  </si>
  <si>
    <t xml:space="preserve">     Вывоз  твердых бытовых отходов</t>
  </si>
  <si>
    <t>дог.управления</t>
  </si>
  <si>
    <t xml:space="preserve"> (в т.ч. обслуживание ВЦКП,  бухгалтерское сопровождение начисления квартплаты,</t>
  </si>
  <si>
    <r>
      <t xml:space="preserve">Наименование ТСЖ : </t>
    </r>
    <r>
      <rPr>
        <b/>
        <sz val="12"/>
        <rFont val="Arial"/>
        <family val="2"/>
      </rPr>
      <t>"4-я Рота</t>
    </r>
    <r>
      <rPr>
        <sz val="12"/>
        <rFont val="Arial"/>
        <family val="2"/>
      </rPr>
      <t>"</t>
    </r>
  </si>
  <si>
    <t>СМЕТА доходов и расходов с 01.06.2012г. по 31.12.2012г.</t>
  </si>
  <si>
    <t xml:space="preserve">    сдача налоговой отчетности ТСЖ "4-я Рота" )</t>
  </si>
  <si>
    <t xml:space="preserve">ТСЖ " 4-я Рота "  ___________________  </t>
  </si>
  <si>
    <t>Сод.и тек.ремонт сист. газоснабж.</t>
  </si>
  <si>
    <t>ООО "ПетербургГаз"</t>
  </si>
  <si>
    <t>дог. 1.ВД.00744</t>
  </si>
  <si>
    <t>ООО "Экопром"</t>
  </si>
  <si>
    <t>Водоотведение</t>
  </si>
  <si>
    <t>Адрес: 4-ая Красноармейская ул.д.6</t>
  </si>
  <si>
    <t>дог. 07/07-Е от 01.07.2012</t>
  </si>
  <si>
    <t>дог. 53168 от 01.06.2012</t>
  </si>
  <si>
    <t xml:space="preserve">     Услуги аварийного обслуживания</t>
  </si>
  <si>
    <t>Задолженность</t>
  </si>
  <si>
    <t>8.46/9.47 руб/м2</t>
  </si>
  <si>
    <t>1.34/1.45 руб/м2</t>
  </si>
  <si>
    <t>3.0/3.56 руб/м2</t>
  </si>
  <si>
    <t>1.19 руб/м2</t>
  </si>
  <si>
    <t>0.81 руб/м2</t>
  </si>
  <si>
    <t>5.08 руб/м2</t>
  </si>
  <si>
    <t>1.29 руб/м2</t>
  </si>
  <si>
    <t>1.93 руб/м2</t>
  </si>
  <si>
    <t>0.49/0.53 руб/м2</t>
  </si>
  <si>
    <t>0.48/0.56 руб/м2</t>
  </si>
  <si>
    <t>20.36/27.61 руб/м2</t>
  </si>
  <si>
    <t>2.81/1.71 руб/м2</t>
  </si>
  <si>
    <t>17.72 руб/м3 / 261.73 руб/чел</t>
  </si>
  <si>
    <t xml:space="preserve"> Генеральный директор ООО "УК "Петербургский Дом"</t>
  </si>
  <si>
    <t>1.18 руб/м2</t>
  </si>
  <si>
    <t>17.72 руб/ м3</t>
  </si>
  <si>
    <t>70.50 руб/ м3 / 268.61 руб/чел</t>
  </si>
  <si>
    <t>Эксплуатация коллективных приборов учета</t>
  </si>
  <si>
    <t>Плановые начисления за период 01.06.12-31.12.12</t>
  </si>
  <si>
    <t>Плановые начисления в месяц</t>
  </si>
  <si>
    <t>Фактические поступления за период 01.06.12-31.12.12</t>
  </si>
  <si>
    <t>Поставщики услуг</t>
  </si>
  <si>
    <t>Задолженность поставщикам</t>
  </si>
  <si>
    <t>Тариф в руб.</t>
  </si>
  <si>
    <t>Стоимость услуги поставщика за период отчета</t>
  </si>
  <si>
    <t xml:space="preserve"> ОАО "Автопарк № 1 "Спецтранс"</t>
  </si>
  <si>
    <t>ООО "ЖКС №1 Адмиралтейского района" субабонент.дог. 7921-39-с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</si>
</sst>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_-* #,##0.0_р_._-;\-* #,##0.0_р_._-;_-* &quot;-&quot;??_р_._-;_-@_-"/>
    <numFmt numFmtId="169" formatCode="_-* #,##0_р_._-;\-* #,##0_р_._-;_-* &quot;-&quot;??_р_._-;_-@_-"/>
    <numFmt numFmtId="170" formatCode="#,##0.00_ ;\-#,##0.00\ "/>
    <numFmt numFmtId="171" formatCode="#,##0_ ;\-#,##0\ "/>
  </numFmts>
  <fonts count="50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yr"/>
      <family val="0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u val="single"/>
      <sz val="10"/>
      <name val="Arial Cyr"/>
      <family val="0"/>
    </font>
    <font>
      <b/>
      <u val="single"/>
      <sz val="9"/>
      <name val="Arial"/>
      <family val="2"/>
    </font>
    <font>
      <b/>
      <u val="singleAccounting"/>
      <sz val="9"/>
      <name val="Arial"/>
      <family val="2"/>
    </font>
    <font>
      <b/>
      <i/>
      <u val="single"/>
      <sz val="8"/>
      <name val="Arial"/>
      <family val="2"/>
    </font>
    <font>
      <u val="single"/>
      <sz val="9"/>
      <name val="Arial Cyr"/>
      <family val="0"/>
    </font>
    <font>
      <i/>
      <sz val="10"/>
      <name val="Arial"/>
      <family val="2"/>
    </font>
    <font>
      <sz val="10"/>
      <color indexed="8"/>
      <name val="ARIAL"/>
      <family val="0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  <font>
      <sz val="14"/>
      <name val="Arial"/>
      <family val="2"/>
    </font>
    <font>
      <b/>
      <u val="single"/>
      <sz val="14"/>
      <name val="Arial"/>
      <family val="2"/>
    </font>
    <font>
      <sz val="14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3" fillId="21" borderId="7" applyNumberFormat="0" applyAlignment="0" applyProtection="0"/>
    <xf numFmtId="0" fontId="3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" fillId="0" borderId="0">
      <alignment/>
      <protection/>
    </xf>
    <xf numFmtId="0" fontId="37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477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0" xfId="52" applyAlignment="1">
      <alignment horizontal="right"/>
      <protection/>
    </xf>
    <xf numFmtId="0" fontId="1" fillId="0" borderId="0" xfId="52" applyAlignment="1">
      <alignment horizontal="left"/>
      <protection/>
    </xf>
    <xf numFmtId="0" fontId="1" fillId="0" borderId="10" xfId="52" applyBorder="1">
      <alignment/>
      <protection/>
    </xf>
    <xf numFmtId="0" fontId="1" fillId="0" borderId="11" xfId="52" applyBorder="1">
      <alignment/>
      <protection/>
    </xf>
    <xf numFmtId="0" fontId="1" fillId="0" borderId="12" xfId="52" applyBorder="1" applyAlignment="1">
      <alignment horizontal="center"/>
      <protection/>
    </xf>
    <xf numFmtId="0" fontId="1" fillId="0" borderId="11" xfId="52" applyBorder="1" applyAlignment="1">
      <alignment horizontal="center"/>
      <protection/>
    </xf>
    <xf numFmtId="0" fontId="1" fillId="0" borderId="12" xfId="52" applyBorder="1" applyAlignment="1">
      <alignment horizontal="right"/>
      <protection/>
    </xf>
    <xf numFmtId="0" fontId="1" fillId="0" borderId="11" xfId="52" applyFill="1" applyBorder="1" applyAlignment="1">
      <alignment horizontal="center"/>
      <protection/>
    </xf>
    <xf numFmtId="0" fontId="1" fillId="0" borderId="13" xfId="52" applyBorder="1" applyAlignment="1">
      <alignment horizontal="center"/>
      <protection/>
    </xf>
    <xf numFmtId="0" fontId="1" fillId="0" borderId="14" xfId="52" applyBorder="1">
      <alignment/>
      <protection/>
    </xf>
    <xf numFmtId="0" fontId="1" fillId="0" borderId="0" xfId="52" applyBorder="1">
      <alignment/>
      <protection/>
    </xf>
    <xf numFmtId="0" fontId="1" fillId="0" borderId="15" xfId="52" applyBorder="1" applyAlignment="1">
      <alignment horizontal="center"/>
      <protection/>
    </xf>
    <xf numFmtId="0" fontId="1" fillId="0" borderId="0" xfId="52" applyBorder="1" applyAlignment="1">
      <alignment horizontal="center"/>
      <protection/>
    </xf>
    <xf numFmtId="0" fontId="1" fillId="0" borderId="15" xfId="52" applyBorder="1" applyAlignment="1">
      <alignment horizontal="right"/>
      <protection/>
    </xf>
    <xf numFmtId="0" fontId="1" fillId="0" borderId="16" xfId="52" applyBorder="1" applyAlignment="1">
      <alignment horizontal="center"/>
      <protection/>
    </xf>
    <xf numFmtId="0" fontId="1" fillId="0" borderId="17" xfId="52" applyBorder="1">
      <alignment/>
      <protection/>
    </xf>
    <xf numFmtId="0" fontId="1" fillId="0" borderId="18" xfId="52" applyBorder="1">
      <alignment/>
      <protection/>
    </xf>
    <xf numFmtId="0" fontId="1" fillId="0" borderId="19" xfId="52" applyBorder="1" applyAlignment="1">
      <alignment horizontal="center"/>
      <protection/>
    </xf>
    <xf numFmtId="0" fontId="1" fillId="0" borderId="18" xfId="52" applyBorder="1" applyAlignment="1">
      <alignment horizontal="center"/>
      <protection/>
    </xf>
    <xf numFmtId="0" fontId="1" fillId="0" borderId="19" xfId="52" applyBorder="1" applyAlignment="1">
      <alignment horizontal="right"/>
      <protection/>
    </xf>
    <xf numFmtId="0" fontId="1" fillId="0" borderId="20" xfId="52" applyBorder="1" applyAlignment="1">
      <alignment horizontal="center"/>
      <protection/>
    </xf>
    <xf numFmtId="0" fontId="1" fillId="0" borderId="21" xfId="52" applyBorder="1">
      <alignment/>
      <protection/>
    </xf>
    <xf numFmtId="0" fontId="1" fillId="0" borderId="22" xfId="52" applyBorder="1">
      <alignment/>
      <protection/>
    </xf>
    <xf numFmtId="2" fontId="1" fillId="0" borderId="23" xfId="52" applyNumberFormat="1" applyBorder="1" applyAlignment="1">
      <alignment horizontal="center"/>
      <protection/>
    </xf>
    <xf numFmtId="0" fontId="1" fillId="0" borderId="22" xfId="52" applyBorder="1" applyAlignment="1">
      <alignment horizontal="center"/>
      <protection/>
    </xf>
    <xf numFmtId="4" fontId="1" fillId="0" borderId="23" xfId="52" applyNumberFormat="1" applyBorder="1" applyAlignment="1">
      <alignment horizontal="right"/>
      <protection/>
    </xf>
    <xf numFmtId="0" fontId="1" fillId="0" borderId="24" xfId="52" applyBorder="1" applyAlignment="1">
      <alignment horizontal="center"/>
      <protection/>
    </xf>
    <xf numFmtId="2" fontId="1" fillId="0" borderId="15" xfId="52" applyNumberFormat="1" applyBorder="1" applyAlignment="1">
      <alignment horizontal="center"/>
      <protection/>
    </xf>
    <xf numFmtId="4" fontId="1" fillId="0" borderId="15" xfId="52" applyNumberFormat="1" applyBorder="1" applyAlignment="1">
      <alignment horizontal="right"/>
      <protection/>
    </xf>
    <xf numFmtId="0" fontId="1" fillId="0" borderId="25" xfId="52" applyBorder="1">
      <alignment/>
      <protection/>
    </xf>
    <xf numFmtId="0" fontId="1" fillId="0" borderId="26" xfId="52" applyBorder="1">
      <alignment/>
      <protection/>
    </xf>
    <xf numFmtId="2" fontId="1" fillId="0" borderId="27" xfId="52" applyNumberFormat="1" applyBorder="1" applyAlignment="1">
      <alignment horizontal="center"/>
      <protection/>
    </xf>
    <xf numFmtId="0" fontId="1" fillId="0" borderId="26" xfId="52" applyBorder="1" applyAlignment="1">
      <alignment horizontal="center"/>
      <protection/>
    </xf>
    <xf numFmtId="4" fontId="1" fillId="0" borderId="19" xfId="52" applyNumberFormat="1" applyBorder="1" applyAlignment="1">
      <alignment horizontal="right"/>
      <protection/>
    </xf>
    <xf numFmtId="1" fontId="1" fillId="0" borderId="26" xfId="52" applyNumberFormat="1" applyBorder="1" applyAlignment="1">
      <alignment horizontal="center"/>
      <protection/>
    </xf>
    <xf numFmtId="1" fontId="1" fillId="0" borderId="22" xfId="52" applyNumberFormat="1" applyBorder="1" applyAlignment="1">
      <alignment horizontal="center"/>
      <protection/>
    </xf>
    <xf numFmtId="0" fontId="1" fillId="0" borderId="27" xfId="52" applyBorder="1" applyAlignment="1">
      <alignment horizontal="center"/>
      <protection/>
    </xf>
    <xf numFmtId="0" fontId="1" fillId="0" borderId="28" xfId="52" applyBorder="1">
      <alignment/>
      <protection/>
    </xf>
    <xf numFmtId="0" fontId="1" fillId="0" borderId="29" xfId="52" applyBorder="1">
      <alignment/>
      <protection/>
    </xf>
    <xf numFmtId="0" fontId="1" fillId="0" borderId="30" xfId="52" applyBorder="1" applyAlignment="1">
      <alignment horizontal="center"/>
      <protection/>
    </xf>
    <xf numFmtId="0" fontId="1" fillId="0" borderId="29" xfId="52" applyBorder="1" applyAlignment="1">
      <alignment horizontal="center"/>
      <protection/>
    </xf>
    <xf numFmtId="4" fontId="2" fillId="0" borderId="30" xfId="52" applyNumberFormat="1" applyFont="1" applyBorder="1" applyAlignment="1">
      <alignment horizontal="right"/>
      <protection/>
    </xf>
    <xf numFmtId="0" fontId="1" fillId="0" borderId="31" xfId="52" applyBorder="1" applyAlignment="1">
      <alignment horizontal="center"/>
      <protection/>
    </xf>
    <xf numFmtId="0" fontId="1" fillId="0" borderId="32" xfId="52" applyBorder="1" applyAlignment="1">
      <alignment horizontal="center"/>
      <protection/>
    </xf>
    <xf numFmtId="0" fontId="1" fillId="0" borderId="14" xfId="52" applyFill="1" applyBorder="1">
      <alignment/>
      <protection/>
    </xf>
    <xf numFmtId="0" fontId="1" fillId="0" borderId="0" xfId="52" applyBorder="1" applyAlignment="1">
      <alignment horizontal="right"/>
      <protection/>
    </xf>
    <xf numFmtId="0" fontId="1" fillId="0" borderId="0" xfId="52" applyFont="1">
      <alignment/>
      <protection/>
    </xf>
    <xf numFmtId="2" fontId="1" fillId="0" borderId="27" xfId="52" applyNumberFormat="1" applyFont="1" applyBorder="1" applyAlignment="1">
      <alignment horizontal="center"/>
      <protection/>
    </xf>
    <xf numFmtId="3" fontId="1" fillId="0" borderId="27" xfId="52" applyNumberFormat="1" applyFont="1" applyBorder="1" applyAlignment="1">
      <alignment horizontal="center"/>
      <protection/>
    </xf>
    <xf numFmtId="0" fontId="1" fillId="0" borderId="27" xfId="52" applyFont="1" applyBorder="1" applyAlignment="1">
      <alignment horizontal="center"/>
      <protection/>
    </xf>
    <xf numFmtId="0" fontId="1" fillId="0" borderId="26" xfId="52" applyFont="1" applyBorder="1">
      <alignment/>
      <protection/>
    </xf>
    <xf numFmtId="43" fontId="0" fillId="0" borderId="0" xfId="59" applyFont="1" applyAlignment="1">
      <alignment/>
    </xf>
    <xf numFmtId="43" fontId="5" fillId="0" borderId="0" xfId="59" applyFont="1" applyAlignment="1">
      <alignment/>
    </xf>
    <xf numFmtId="43" fontId="6" fillId="0" borderId="0" xfId="59" applyFont="1" applyAlignment="1">
      <alignment/>
    </xf>
    <xf numFmtId="0" fontId="5" fillId="0" borderId="0" xfId="0" applyFont="1" applyAlignment="1">
      <alignment/>
    </xf>
    <xf numFmtId="43" fontId="7" fillId="0" borderId="0" xfId="59" applyFont="1" applyAlignment="1">
      <alignment/>
    </xf>
    <xf numFmtId="0" fontId="6" fillId="0" borderId="0" xfId="0" applyFont="1" applyAlignment="1">
      <alignment/>
    </xf>
    <xf numFmtId="43" fontId="5" fillId="0" borderId="0" xfId="59" applyFont="1" applyAlignment="1">
      <alignment horizontal="left"/>
    </xf>
    <xf numFmtId="169" fontId="7" fillId="0" borderId="0" xfId="59" applyNumberFormat="1" applyFont="1" applyAlignment="1">
      <alignment horizontal="left"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/>
    </xf>
    <xf numFmtId="0" fontId="9" fillId="0" borderId="35" xfId="0" applyFont="1" applyBorder="1" applyAlignment="1">
      <alignment/>
    </xf>
    <xf numFmtId="43" fontId="10" fillId="0" borderId="36" xfId="59" applyFont="1" applyBorder="1" applyAlignment="1">
      <alignment/>
    </xf>
    <xf numFmtId="43" fontId="10" fillId="0" borderId="37" xfId="59" applyFont="1" applyBorder="1" applyAlignment="1">
      <alignment/>
    </xf>
    <xf numFmtId="43" fontId="11" fillId="0" borderId="37" xfId="59" applyFont="1" applyBorder="1" applyAlignment="1">
      <alignment/>
    </xf>
    <xf numFmtId="43" fontId="11" fillId="0" borderId="38" xfId="59" applyFont="1" applyBorder="1" applyAlignment="1">
      <alignment/>
    </xf>
    <xf numFmtId="43" fontId="11" fillId="0" borderId="39" xfId="59" applyFont="1" applyBorder="1" applyAlignment="1">
      <alignment/>
    </xf>
    <xf numFmtId="43" fontId="11" fillId="0" borderId="40" xfId="59" applyFont="1" applyBorder="1" applyAlignment="1">
      <alignment/>
    </xf>
    <xf numFmtId="0" fontId="11" fillId="0" borderId="0" xfId="0" applyFont="1" applyAlignment="1">
      <alignment/>
    </xf>
    <xf numFmtId="169" fontId="11" fillId="0" borderId="0" xfId="59" applyNumberFormat="1" applyFont="1" applyAlignment="1">
      <alignment horizontal="left"/>
    </xf>
    <xf numFmtId="43" fontId="11" fillId="0" borderId="0" xfId="59" applyFont="1" applyAlignment="1">
      <alignment horizontal="left"/>
    </xf>
    <xf numFmtId="43" fontId="11" fillId="0" borderId="0" xfId="59" applyFont="1" applyAlignment="1">
      <alignment/>
    </xf>
    <xf numFmtId="169" fontId="10" fillId="0" borderId="0" xfId="59" applyNumberFormat="1" applyFont="1" applyAlignment="1">
      <alignment horizontal="left"/>
    </xf>
    <xf numFmtId="0" fontId="12" fillId="0" borderId="0" xfId="0" applyFont="1" applyAlignment="1">
      <alignment/>
    </xf>
    <xf numFmtId="0" fontId="10" fillId="0" borderId="41" xfId="0" applyFont="1" applyBorder="1" applyAlignment="1">
      <alignment/>
    </xf>
    <xf numFmtId="0" fontId="10" fillId="0" borderId="42" xfId="0" applyFont="1" applyBorder="1" applyAlignment="1">
      <alignment/>
    </xf>
    <xf numFmtId="0" fontId="10" fillId="0" borderId="43" xfId="0" applyFont="1" applyBorder="1" applyAlignment="1">
      <alignment/>
    </xf>
    <xf numFmtId="43" fontId="10" fillId="0" borderId="43" xfId="59" applyFont="1" applyBorder="1" applyAlignment="1">
      <alignment/>
    </xf>
    <xf numFmtId="43" fontId="11" fillId="0" borderId="43" xfId="59" applyFont="1" applyBorder="1" applyAlignment="1">
      <alignment/>
    </xf>
    <xf numFmtId="0" fontId="10" fillId="0" borderId="44" xfId="0" applyFont="1" applyBorder="1" applyAlignment="1">
      <alignment/>
    </xf>
    <xf numFmtId="43" fontId="10" fillId="0" borderId="45" xfId="59" applyFont="1" applyBorder="1" applyAlignment="1">
      <alignment/>
    </xf>
    <xf numFmtId="0" fontId="10" fillId="0" borderId="46" xfId="0" applyFont="1" applyBorder="1" applyAlignment="1">
      <alignment/>
    </xf>
    <xf numFmtId="0" fontId="10" fillId="0" borderId="47" xfId="0" applyFont="1" applyBorder="1" applyAlignment="1">
      <alignment/>
    </xf>
    <xf numFmtId="0" fontId="11" fillId="0" borderId="34" xfId="0" applyFont="1" applyBorder="1" applyAlignment="1">
      <alignment/>
    </xf>
    <xf numFmtId="0" fontId="11" fillId="0" borderId="27" xfId="0" applyFont="1" applyBorder="1" applyAlignment="1">
      <alignment/>
    </xf>
    <xf numFmtId="43" fontId="10" fillId="0" borderId="27" xfId="59" applyFont="1" applyBorder="1" applyAlignment="1">
      <alignment/>
    </xf>
    <xf numFmtId="43" fontId="11" fillId="0" borderId="27" xfId="59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7" xfId="0" applyFont="1" applyBorder="1" applyAlignment="1">
      <alignment/>
    </xf>
    <xf numFmtId="43" fontId="10" fillId="0" borderId="48" xfId="59" applyFont="1" applyBorder="1" applyAlignment="1">
      <alignment/>
    </xf>
    <xf numFmtId="0" fontId="11" fillId="0" borderId="49" xfId="0" applyFont="1" applyBorder="1" applyAlignment="1">
      <alignment/>
    </xf>
    <xf numFmtId="0" fontId="11" fillId="0" borderId="25" xfId="0" applyFont="1" applyBorder="1" applyAlignment="1">
      <alignment/>
    </xf>
    <xf numFmtId="0" fontId="10" fillId="0" borderId="50" xfId="0" applyFont="1" applyBorder="1" applyAlignment="1">
      <alignment/>
    </xf>
    <xf numFmtId="0" fontId="11" fillId="0" borderId="51" xfId="0" applyFont="1" applyBorder="1" applyAlignment="1">
      <alignment/>
    </xf>
    <xf numFmtId="0" fontId="11" fillId="0" borderId="30" xfId="0" applyFont="1" applyBorder="1" applyAlignment="1">
      <alignment/>
    </xf>
    <xf numFmtId="43" fontId="10" fillId="0" borderId="30" xfId="59" applyFont="1" applyBorder="1" applyAlignment="1">
      <alignment/>
    </xf>
    <xf numFmtId="43" fontId="11" fillId="0" borderId="30" xfId="59" applyFont="1" applyBorder="1" applyAlignment="1">
      <alignment/>
    </xf>
    <xf numFmtId="0" fontId="11" fillId="0" borderId="28" xfId="0" applyFont="1" applyBorder="1" applyAlignment="1">
      <alignment/>
    </xf>
    <xf numFmtId="43" fontId="10" fillId="0" borderId="52" xfId="59" applyFont="1" applyBorder="1" applyAlignment="1">
      <alignment/>
    </xf>
    <xf numFmtId="0" fontId="11" fillId="0" borderId="53" xfId="0" applyFont="1" applyBorder="1" applyAlignment="1">
      <alignment/>
    </xf>
    <xf numFmtId="0" fontId="10" fillId="0" borderId="54" xfId="0" applyFont="1" applyBorder="1" applyAlignment="1">
      <alignment/>
    </xf>
    <xf numFmtId="0" fontId="11" fillId="0" borderId="23" xfId="0" applyFont="1" applyBorder="1" applyAlignment="1">
      <alignment/>
    </xf>
    <xf numFmtId="43" fontId="11" fillId="0" borderId="23" xfId="59" applyFont="1" applyBorder="1" applyAlignment="1">
      <alignment/>
    </xf>
    <xf numFmtId="43" fontId="10" fillId="0" borderId="23" xfId="59" applyFont="1" applyBorder="1" applyAlignment="1">
      <alignment/>
    </xf>
    <xf numFmtId="0" fontId="11" fillId="0" borderId="21" xfId="0" applyFont="1" applyBorder="1" applyAlignment="1">
      <alignment/>
    </xf>
    <xf numFmtId="43" fontId="11" fillId="0" borderId="24" xfId="59" applyFont="1" applyBorder="1" applyAlignment="1">
      <alignment/>
    </xf>
    <xf numFmtId="0" fontId="10" fillId="0" borderId="55" xfId="0" applyFont="1" applyBorder="1" applyAlignment="1">
      <alignment/>
    </xf>
    <xf numFmtId="43" fontId="8" fillId="0" borderId="27" xfId="59" applyFont="1" applyBorder="1" applyAlignment="1">
      <alignment/>
    </xf>
    <xf numFmtId="43" fontId="11" fillId="0" borderId="48" xfId="59" applyFont="1" applyBorder="1" applyAlignment="1">
      <alignment/>
    </xf>
    <xf numFmtId="0" fontId="11" fillId="0" borderId="37" xfId="0" applyFont="1" applyBorder="1" applyAlignment="1">
      <alignment/>
    </xf>
    <xf numFmtId="0" fontId="11" fillId="0" borderId="19" xfId="0" applyFont="1" applyBorder="1" applyAlignment="1">
      <alignment/>
    </xf>
    <xf numFmtId="43" fontId="11" fillId="0" borderId="19" xfId="59" applyFont="1" applyBorder="1" applyAlignment="1">
      <alignment/>
    </xf>
    <xf numFmtId="43" fontId="10" fillId="0" borderId="19" xfId="59" applyFont="1" applyBorder="1" applyAlignment="1">
      <alignment/>
    </xf>
    <xf numFmtId="0" fontId="11" fillId="0" borderId="17" xfId="0" applyFont="1" applyBorder="1" applyAlignment="1">
      <alignment/>
    </xf>
    <xf numFmtId="43" fontId="11" fillId="0" borderId="20" xfId="59" applyFont="1" applyBorder="1" applyAlignment="1">
      <alignment/>
    </xf>
    <xf numFmtId="0" fontId="11" fillId="0" borderId="40" xfId="0" applyFont="1" applyBorder="1" applyAlignment="1">
      <alignment/>
    </xf>
    <xf numFmtId="43" fontId="10" fillId="0" borderId="19" xfId="59" applyFont="1" applyBorder="1" applyAlignment="1">
      <alignment/>
    </xf>
    <xf numFmtId="0" fontId="10" fillId="0" borderId="56" xfId="0" applyFont="1" applyBorder="1" applyAlignment="1">
      <alignment/>
    </xf>
    <xf numFmtId="43" fontId="11" fillId="0" borderId="57" xfId="59" applyFont="1" applyBorder="1" applyAlignment="1">
      <alignment/>
    </xf>
    <xf numFmtId="0" fontId="11" fillId="0" borderId="58" xfId="0" applyFont="1" applyBorder="1" applyAlignment="1">
      <alignment/>
    </xf>
    <xf numFmtId="43" fontId="10" fillId="0" borderId="58" xfId="59" applyFont="1" applyBorder="1" applyAlignment="1">
      <alignment/>
    </xf>
    <xf numFmtId="43" fontId="11" fillId="0" borderId="58" xfId="59" applyFont="1" applyBorder="1" applyAlignment="1">
      <alignment/>
    </xf>
    <xf numFmtId="0" fontId="11" fillId="0" borderId="59" xfId="0" applyFont="1" applyBorder="1" applyAlignment="1">
      <alignment/>
    </xf>
    <xf numFmtId="43" fontId="10" fillId="0" borderId="60" xfId="59" applyFont="1" applyBorder="1" applyAlignment="1">
      <alignment/>
    </xf>
    <xf numFmtId="0" fontId="10" fillId="0" borderId="61" xfId="0" applyFont="1" applyBorder="1" applyAlignment="1">
      <alignment/>
    </xf>
    <xf numFmtId="0" fontId="11" fillId="0" borderId="55" xfId="0" applyFont="1" applyBorder="1" applyAlignment="1">
      <alignment/>
    </xf>
    <xf numFmtId="0" fontId="10" fillId="0" borderId="56" xfId="0" applyFont="1" applyFill="1" applyBorder="1" applyAlignment="1">
      <alignment/>
    </xf>
    <xf numFmtId="0" fontId="10" fillId="0" borderId="58" xfId="0" applyFont="1" applyBorder="1" applyAlignment="1">
      <alignment/>
    </xf>
    <xf numFmtId="0" fontId="10" fillId="0" borderId="59" xfId="0" applyFont="1" applyBorder="1" applyAlignment="1">
      <alignment/>
    </xf>
    <xf numFmtId="43" fontId="11" fillId="0" borderId="60" xfId="59" applyFont="1" applyBorder="1" applyAlignment="1">
      <alignment/>
    </xf>
    <xf numFmtId="0" fontId="13" fillId="0" borderId="0" xfId="0" applyFont="1" applyAlignment="1">
      <alignment/>
    </xf>
    <xf numFmtId="43" fontId="11" fillId="0" borderId="37" xfId="0" applyNumberFormat="1" applyFont="1" applyBorder="1" applyAlignment="1">
      <alignment/>
    </xf>
    <xf numFmtId="43" fontId="11" fillId="0" borderId="39" xfId="0" applyNumberFormat="1" applyFont="1" applyBorder="1" applyAlignment="1">
      <alignment/>
    </xf>
    <xf numFmtId="43" fontId="11" fillId="0" borderId="40" xfId="0" applyNumberFormat="1" applyFont="1" applyBorder="1" applyAlignment="1">
      <alignment/>
    </xf>
    <xf numFmtId="43" fontId="10" fillId="0" borderId="61" xfId="0" applyNumberFormat="1" applyFont="1" applyBorder="1" applyAlignment="1">
      <alignment/>
    </xf>
    <xf numFmtId="0" fontId="8" fillId="0" borderId="42" xfId="0" applyFont="1" applyBorder="1" applyAlignment="1">
      <alignment/>
    </xf>
    <xf numFmtId="43" fontId="11" fillId="0" borderId="36" xfId="59" applyFont="1" applyBorder="1" applyAlignment="1">
      <alignment/>
    </xf>
    <xf numFmtId="0" fontId="11" fillId="0" borderId="43" xfId="0" applyFont="1" applyBorder="1" applyAlignment="1">
      <alignment/>
    </xf>
    <xf numFmtId="0" fontId="11" fillId="0" borderId="44" xfId="0" applyFont="1" applyBorder="1" applyAlignment="1">
      <alignment/>
    </xf>
    <xf numFmtId="43" fontId="11" fillId="0" borderId="45" xfId="59" applyFont="1" applyBorder="1" applyAlignment="1">
      <alignment/>
    </xf>
    <xf numFmtId="43" fontId="11" fillId="0" borderId="46" xfId="0" applyNumberFormat="1" applyFont="1" applyBorder="1" applyAlignment="1">
      <alignment/>
    </xf>
    <xf numFmtId="0" fontId="8" fillId="0" borderId="51" xfId="0" applyFont="1" applyBorder="1" applyAlignment="1">
      <alignment/>
    </xf>
    <xf numFmtId="43" fontId="8" fillId="0" borderId="30" xfId="59" applyFont="1" applyBorder="1" applyAlignment="1">
      <alignment/>
    </xf>
    <xf numFmtId="43" fontId="11" fillId="0" borderId="52" xfId="59" applyFont="1" applyBorder="1" applyAlignment="1">
      <alignment/>
    </xf>
    <xf numFmtId="14" fontId="11" fillId="0" borderId="30" xfId="0" applyNumberFormat="1" applyFont="1" applyBorder="1" applyAlignment="1">
      <alignment/>
    </xf>
    <xf numFmtId="0" fontId="14" fillId="0" borderId="0" xfId="0" applyFont="1" applyAlignment="1">
      <alignment/>
    </xf>
    <xf numFmtId="43" fontId="12" fillId="0" borderId="27" xfId="59" applyFont="1" applyBorder="1" applyAlignment="1">
      <alignment/>
    </xf>
    <xf numFmtId="43" fontId="12" fillId="0" borderId="37" xfId="59" applyFont="1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55" xfId="0" applyBorder="1" applyAlignment="1">
      <alignment/>
    </xf>
    <xf numFmtId="43" fontId="0" fillId="0" borderId="62" xfId="59" applyFont="1" applyBorder="1" applyAlignment="1">
      <alignment/>
    </xf>
    <xf numFmtId="43" fontId="0" fillId="0" borderId="18" xfId="59" applyFont="1" applyBorder="1" applyAlignment="1">
      <alignment/>
    </xf>
    <xf numFmtId="0" fontId="0" fillId="0" borderId="40" xfId="0" applyBorder="1" applyAlignment="1">
      <alignment/>
    </xf>
    <xf numFmtId="43" fontId="0" fillId="0" borderId="63" xfId="59" applyFont="1" applyBorder="1" applyAlignment="1">
      <alignment/>
    </xf>
    <xf numFmtId="43" fontId="0" fillId="0" borderId="0" xfId="59" applyFont="1" applyBorder="1" applyAlignment="1">
      <alignment/>
    </xf>
    <xf numFmtId="0" fontId="0" fillId="0" borderId="64" xfId="0" applyBorder="1" applyAlignment="1">
      <alignment/>
    </xf>
    <xf numFmtId="43" fontId="0" fillId="0" borderId="54" xfId="59" applyFont="1" applyBorder="1" applyAlignment="1">
      <alignment/>
    </xf>
    <xf numFmtId="43" fontId="0" fillId="0" borderId="22" xfId="59" applyFont="1" applyBorder="1" applyAlignment="1">
      <alignment/>
    </xf>
    <xf numFmtId="0" fontId="0" fillId="0" borderId="39" xfId="0" applyBorder="1" applyAlignment="1">
      <alignment/>
    </xf>
    <xf numFmtId="0" fontId="8" fillId="0" borderId="41" xfId="0" applyFont="1" applyBorder="1" applyAlignment="1">
      <alignment/>
    </xf>
    <xf numFmtId="0" fontId="8" fillId="0" borderId="50" xfId="0" applyFont="1" applyBorder="1" applyAlignment="1">
      <alignment/>
    </xf>
    <xf numFmtId="0" fontId="15" fillId="0" borderId="0" xfId="0" applyFont="1" applyAlignment="1">
      <alignment/>
    </xf>
    <xf numFmtId="43" fontId="16" fillId="0" borderId="0" xfId="59" applyFont="1" applyAlignment="1">
      <alignment/>
    </xf>
    <xf numFmtId="0" fontId="16" fillId="0" borderId="0" xfId="0" applyFont="1" applyAlignment="1">
      <alignment/>
    </xf>
    <xf numFmtId="43" fontId="15" fillId="0" borderId="0" xfId="59" applyFont="1" applyAlignment="1">
      <alignment/>
    </xf>
    <xf numFmtId="43" fontId="20" fillId="0" borderId="0" xfId="59" applyFont="1" applyAlignment="1">
      <alignment/>
    </xf>
    <xf numFmtId="43" fontId="0" fillId="0" borderId="10" xfId="59" applyFont="1" applyBorder="1" applyAlignment="1">
      <alignment/>
    </xf>
    <xf numFmtId="43" fontId="0" fillId="0" borderId="12" xfId="59" applyFont="1" applyBorder="1" applyAlignment="1">
      <alignment/>
    </xf>
    <xf numFmtId="0" fontId="0" fillId="0" borderId="65" xfId="0" applyBorder="1" applyAlignment="1">
      <alignment/>
    </xf>
    <xf numFmtId="43" fontId="0" fillId="0" borderId="66" xfId="59" applyFont="1" applyBorder="1" applyAlignment="1">
      <alignment/>
    </xf>
    <xf numFmtId="43" fontId="0" fillId="0" borderId="67" xfId="59" applyFont="1" applyBorder="1" applyAlignment="1">
      <alignment/>
    </xf>
    <xf numFmtId="43" fontId="0" fillId="0" borderId="68" xfId="59" applyFont="1" applyBorder="1" applyAlignment="1">
      <alignment/>
    </xf>
    <xf numFmtId="0" fontId="0" fillId="0" borderId="69" xfId="0" applyBorder="1" applyAlignment="1">
      <alignment/>
    </xf>
    <xf numFmtId="43" fontId="0" fillId="0" borderId="70" xfId="59" applyFont="1" applyBorder="1" applyAlignment="1">
      <alignment/>
    </xf>
    <xf numFmtId="0" fontId="8" fillId="0" borderId="71" xfId="0" applyFont="1" applyBorder="1" applyAlignment="1">
      <alignment/>
    </xf>
    <xf numFmtId="43" fontId="0" fillId="0" borderId="58" xfId="59" applyFont="1" applyBorder="1" applyAlignment="1">
      <alignment/>
    </xf>
    <xf numFmtId="43" fontId="0" fillId="0" borderId="72" xfId="59" applyFont="1" applyBorder="1" applyAlignment="1">
      <alignment/>
    </xf>
    <xf numFmtId="0" fontId="0" fillId="0" borderId="72" xfId="0" applyBorder="1" applyAlignment="1">
      <alignment/>
    </xf>
    <xf numFmtId="43" fontId="0" fillId="0" borderId="61" xfId="59" applyFont="1" applyBorder="1" applyAlignment="1">
      <alignment/>
    </xf>
    <xf numFmtId="0" fontId="19" fillId="0" borderId="73" xfId="0" applyFont="1" applyBorder="1" applyAlignment="1">
      <alignment/>
    </xf>
    <xf numFmtId="43" fontId="0" fillId="0" borderId="63" xfId="59" applyFont="1" applyBorder="1" applyAlignment="1">
      <alignment/>
    </xf>
    <xf numFmtId="0" fontId="16" fillId="0" borderId="63" xfId="0" applyFont="1" applyBorder="1" applyAlignment="1">
      <alignment/>
    </xf>
    <xf numFmtId="43" fontId="16" fillId="0" borderId="64" xfId="59" applyFont="1" applyBorder="1" applyAlignment="1">
      <alignment/>
    </xf>
    <xf numFmtId="43" fontId="12" fillId="0" borderId="58" xfId="59" applyFont="1" applyBorder="1" applyAlignment="1">
      <alignment/>
    </xf>
    <xf numFmtId="43" fontId="12" fillId="0" borderId="72" xfId="59" applyFont="1" applyBorder="1" applyAlignment="1">
      <alignment/>
    </xf>
    <xf numFmtId="0" fontId="0" fillId="0" borderId="57" xfId="0" applyBorder="1" applyAlignment="1">
      <alignment/>
    </xf>
    <xf numFmtId="43" fontId="0" fillId="0" borderId="60" xfId="59" applyFont="1" applyBorder="1" applyAlignment="1">
      <alignment/>
    </xf>
    <xf numFmtId="43" fontId="10" fillId="0" borderId="0" xfId="59" applyFont="1" applyFill="1" applyBorder="1" applyAlignment="1">
      <alignment/>
    </xf>
    <xf numFmtId="43" fontId="0" fillId="0" borderId="0" xfId="59" applyFont="1" applyFill="1" applyAlignment="1">
      <alignment/>
    </xf>
    <xf numFmtId="43" fontId="5" fillId="0" borderId="0" xfId="59" applyFont="1" applyFill="1" applyAlignment="1">
      <alignment/>
    </xf>
    <xf numFmtId="43" fontId="11" fillId="0" borderId="0" xfId="59" applyFont="1" applyFill="1" applyAlignment="1">
      <alignment/>
    </xf>
    <xf numFmtId="43" fontId="5" fillId="0" borderId="0" xfId="59" applyFont="1" applyFill="1" applyAlignment="1">
      <alignment horizontal="left"/>
    </xf>
    <xf numFmtId="0" fontId="21" fillId="0" borderId="42" xfId="0" applyFont="1" applyFill="1" applyBorder="1" applyAlignment="1">
      <alignment/>
    </xf>
    <xf numFmtId="0" fontId="21" fillId="0" borderId="34" xfId="0" applyFont="1" applyFill="1" applyBorder="1" applyAlignment="1">
      <alignment/>
    </xf>
    <xf numFmtId="0" fontId="21" fillId="0" borderId="51" xfId="0" applyFont="1" applyFill="1" applyBorder="1" applyAlignment="1">
      <alignment/>
    </xf>
    <xf numFmtId="170" fontId="1" fillId="0" borderId="37" xfId="59" applyNumberFormat="1" applyFont="1" applyFill="1" applyBorder="1" applyAlignment="1">
      <alignment horizontal="center"/>
    </xf>
    <xf numFmtId="43" fontId="1" fillId="0" borderId="27" xfId="59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43" fontId="1" fillId="0" borderId="62" xfId="59" applyFont="1" applyFill="1" applyBorder="1" applyAlignment="1">
      <alignment/>
    </xf>
    <xf numFmtId="43" fontId="1" fillId="0" borderId="38" xfId="59" applyFont="1" applyFill="1" applyBorder="1" applyAlignment="1">
      <alignment/>
    </xf>
    <xf numFmtId="0" fontId="21" fillId="0" borderId="35" xfId="0" applyFont="1" applyBorder="1" applyAlignment="1">
      <alignment/>
    </xf>
    <xf numFmtId="43" fontId="1" fillId="0" borderId="37" xfId="59" applyFont="1" applyFill="1" applyBorder="1" applyAlignment="1">
      <alignment/>
    </xf>
    <xf numFmtId="43" fontId="2" fillId="0" borderId="27" xfId="59" applyFont="1" applyFill="1" applyBorder="1" applyAlignment="1">
      <alignment/>
    </xf>
    <xf numFmtId="0" fontId="2" fillId="0" borderId="56" xfId="0" applyFont="1" applyFill="1" applyBorder="1" applyAlignment="1">
      <alignment/>
    </xf>
    <xf numFmtId="43" fontId="1" fillId="0" borderId="58" xfId="59" applyFont="1" applyFill="1" applyBorder="1" applyAlignment="1">
      <alignment/>
    </xf>
    <xf numFmtId="43" fontId="2" fillId="0" borderId="23" xfId="59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169" fontId="11" fillId="0" borderId="0" xfId="59" applyNumberFormat="1" applyFont="1" applyFill="1" applyAlignment="1">
      <alignment horizontal="left"/>
    </xf>
    <xf numFmtId="43" fontId="11" fillId="0" borderId="0" xfId="59" applyFont="1" applyFill="1" applyAlignment="1">
      <alignment horizontal="left"/>
    </xf>
    <xf numFmtId="0" fontId="12" fillId="0" borderId="0" xfId="0" applyFont="1" applyFill="1" applyAlignment="1">
      <alignment/>
    </xf>
    <xf numFmtId="43" fontId="1" fillId="0" borderId="64" xfId="59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0" fillId="0" borderId="0" xfId="0" applyFont="1" applyFill="1" applyAlignment="1">
      <alignment/>
    </xf>
    <xf numFmtId="0" fontId="21" fillId="0" borderId="35" xfId="0" applyFont="1" applyFill="1" applyBorder="1" applyAlignment="1">
      <alignment/>
    </xf>
    <xf numFmtId="43" fontId="1" fillId="0" borderId="74" xfId="59" applyFont="1" applyFill="1" applyBorder="1" applyAlignment="1">
      <alignment/>
    </xf>
    <xf numFmtId="43" fontId="1" fillId="0" borderId="55" xfId="59" applyFont="1" applyFill="1" applyBorder="1" applyAlignment="1">
      <alignment/>
    </xf>
    <xf numFmtId="170" fontId="1" fillId="0" borderId="40" xfId="59" applyNumberFormat="1" applyFont="1" applyFill="1" applyBorder="1" applyAlignment="1">
      <alignment horizontal="center"/>
    </xf>
    <xf numFmtId="2" fontId="1" fillId="0" borderId="40" xfId="59" applyNumberFormat="1" applyFont="1" applyFill="1" applyBorder="1" applyAlignment="1">
      <alignment horizontal="center"/>
    </xf>
    <xf numFmtId="43" fontId="1" fillId="0" borderId="40" xfId="59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right" wrapText="1"/>
    </xf>
    <xf numFmtId="43" fontId="1" fillId="0" borderId="57" xfId="59" applyFont="1" applyFill="1" applyBorder="1" applyAlignment="1">
      <alignment/>
    </xf>
    <xf numFmtId="0" fontId="1" fillId="0" borderId="58" xfId="0" applyFont="1" applyFill="1" applyBorder="1" applyAlignment="1">
      <alignment/>
    </xf>
    <xf numFmtId="43" fontId="1" fillId="0" borderId="72" xfId="59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43" fontId="1" fillId="0" borderId="23" xfId="59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3" fontId="11" fillId="0" borderId="0" xfId="59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3" fontId="6" fillId="0" borderId="0" xfId="59" applyFont="1" applyFill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43" fontId="26" fillId="0" borderId="0" xfId="59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43" fontId="29" fillId="0" borderId="0" xfId="59" applyFont="1" applyFill="1" applyAlignment="1">
      <alignment/>
    </xf>
    <xf numFmtId="0" fontId="31" fillId="0" borderId="0" xfId="0" applyFont="1" applyFill="1" applyAlignment="1">
      <alignment/>
    </xf>
    <xf numFmtId="0" fontId="7" fillId="0" borderId="0" xfId="0" applyFont="1" applyFill="1" applyAlignment="1">
      <alignment/>
    </xf>
    <xf numFmtId="43" fontId="7" fillId="0" borderId="0" xfId="59" applyFont="1" applyFill="1" applyAlignment="1">
      <alignment horizontal="left"/>
    </xf>
    <xf numFmtId="0" fontId="10" fillId="0" borderId="0" xfId="0" applyFont="1" applyFill="1" applyAlignment="1">
      <alignment/>
    </xf>
    <xf numFmtId="169" fontId="10" fillId="0" borderId="0" xfId="59" applyNumberFormat="1" applyFont="1" applyFill="1" applyAlignment="1">
      <alignment horizontal="left"/>
    </xf>
    <xf numFmtId="0" fontId="1" fillId="0" borderId="21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1" fillId="0" borderId="33" xfId="0" applyFont="1" applyFill="1" applyBorder="1" applyAlignment="1">
      <alignment/>
    </xf>
    <xf numFmtId="43" fontId="1" fillId="0" borderId="39" xfId="59" applyFont="1" applyFill="1" applyBorder="1" applyAlignment="1">
      <alignment horizontal="center"/>
    </xf>
    <xf numFmtId="43" fontId="1" fillId="0" borderId="39" xfId="59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170" fontId="1" fillId="0" borderId="57" xfId="59" applyNumberFormat="1" applyFont="1" applyFill="1" applyBorder="1" applyAlignment="1">
      <alignment horizontal="center"/>
    </xf>
    <xf numFmtId="0" fontId="21" fillId="0" borderId="56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43" fontId="1" fillId="0" borderId="62" xfId="59" applyFont="1" applyFill="1" applyBorder="1" applyAlignment="1">
      <alignment/>
    </xf>
    <xf numFmtId="43" fontId="1" fillId="0" borderId="64" xfId="59" applyFont="1" applyFill="1" applyBorder="1" applyAlignment="1">
      <alignment/>
    </xf>
    <xf numFmtId="43" fontId="1" fillId="0" borderId="15" xfId="59" applyFont="1" applyFill="1" applyBorder="1" applyAlignment="1">
      <alignment/>
    </xf>
    <xf numFmtId="43" fontId="2" fillId="0" borderId="15" xfId="59" applyFont="1" applyFill="1" applyBorder="1" applyAlignment="1">
      <alignment/>
    </xf>
    <xf numFmtId="43" fontId="1" fillId="0" borderId="63" xfId="59" applyFont="1" applyFill="1" applyBorder="1" applyAlignment="1">
      <alignment/>
    </xf>
    <xf numFmtId="0" fontId="1" fillId="0" borderId="12" xfId="0" applyFont="1" applyFill="1" applyBorder="1" applyAlignment="1">
      <alignment/>
    </xf>
    <xf numFmtId="43" fontId="1" fillId="0" borderId="40" xfId="59" applyFont="1" applyFill="1" applyBorder="1" applyAlignment="1">
      <alignment/>
    </xf>
    <xf numFmtId="43" fontId="1" fillId="0" borderId="19" xfId="59" applyFont="1" applyFill="1" applyBorder="1" applyAlignment="1">
      <alignment/>
    </xf>
    <xf numFmtId="43" fontId="2" fillId="0" borderId="19" xfId="59" applyFont="1" applyFill="1" applyBorder="1" applyAlignment="1">
      <alignment/>
    </xf>
    <xf numFmtId="43" fontId="1" fillId="0" borderId="43" xfId="59" applyFont="1" applyFill="1" applyBorder="1" applyAlignment="1">
      <alignment/>
    </xf>
    <xf numFmtId="43" fontId="2" fillId="0" borderId="43" xfId="59" applyFont="1" applyFill="1" applyBorder="1" applyAlignment="1">
      <alignment/>
    </xf>
    <xf numFmtId="43" fontId="1" fillId="0" borderId="27" xfId="59" applyFont="1" applyFill="1" applyBorder="1" applyAlignment="1">
      <alignment/>
    </xf>
    <xf numFmtId="43" fontId="2" fillId="0" borderId="27" xfId="59" applyFont="1" applyFill="1" applyBorder="1" applyAlignment="1">
      <alignment/>
    </xf>
    <xf numFmtId="43" fontId="1" fillId="0" borderId="58" xfId="59" applyFont="1" applyFill="1" applyBorder="1" applyAlignment="1">
      <alignment/>
    </xf>
    <xf numFmtId="43" fontId="2" fillId="0" borderId="58" xfId="59" applyFont="1" applyFill="1" applyBorder="1" applyAlignment="1">
      <alignment/>
    </xf>
    <xf numFmtId="0" fontId="1" fillId="0" borderId="58" xfId="0" applyFont="1" applyFill="1" applyBorder="1" applyAlignment="1">
      <alignment/>
    </xf>
    <xf numFmtId="43" fontId="1" fillId="0" borderId="39" xfId="59" applyFont="1" applyFill="1" applyBorder="1" applyAlignment="1">
      <alignment/>
    </xf>
    <xf numFmtId="43" fontId="1" fillId="0" borderId="23" xfId="59" applyFont="1" applyFill="1" applyBorder="1" applyAlignment="1">
      <alignment/>
    </xf>
    <xf numFmtId="43" fontId="2" fillId="0" borderId="23" xfId="59" applyFont="1" applyFill="1" applyBorder="1" applyAlignment="1">
      <alignment/>
    </xf>
    <xf numFmtId="43" fontId="1" fillId="0" borderId="54" xfId="59" applyFont="1" applyFill="1" applyBorder="1" applyAlignment="1">
      <alignment/>
    </xf>
    <xf numFmtId="43" fontId="1" fillId="0" borderId="38" xfId="59" applyFont="1" applyFill="1" applyBorder="1" applyAlignment="1">
      <alignment/>
    </xf>
    <xf numFmtId="43" fontId="1" fillId="0" borderId="30" xfId="59" applyFont="1" applyFill="1" applyBorder="1" applyAlignment="1">
      <alignment/>
    </xf>
    <xf numFmtId="43" fontId="2" fillId="0" borderId="30" xfId="59" applyFont="1" applyFill="1" applyBorder="1" applyAlignment="1">
      <alignment/>
    </xf>
    <xf numFmtId="43" fontId="1" fillId="0" borderId="75" xfId="59" applyFont="1" applyFill="1" applyBorder="1" applyAlignment="1">
      <alignment/>
    </xf>
    <xf numFmtId="14" fontId="1" fillId="0" borderId="30" xfId="0" applyNumberFormat="1" applyFont="1" applyFill="1" applyBorder="1" applyAlignment="1">
      <alignment/>
    </xf>
    <xf numFmtId="43" fontId="1" fillId="0" borderId="37" xfId="59" applyFont="1" applyFill="1" applyBorder="1" applyAlignment="1">
      <alignment/>
    </xf>
    <xf numFmtId="43" fontId="1" fillId="0" borderId="55" xfId="59" applyFont="1" applyFill="1" applyBorder="1" applyAlignment="1">
      <alignment/>
    </xf>
    <xf numFmtId="43" fontId="1" fillId="0" borderId="57" xfId="59" applyFont="1" applyFill="1" applyBorder="1" applyAlignment="1">
      <alignment/>
    </xf>
    <xf numFmtId="43" fontId="1" fillId="0" borderId="72" xfId="59" applyFont="1" applyFill="1" applyBorder="1" applyAlignment="1">
      <alignment/>
    </xf>
    <xf numFmtId="0" fontId="1" fillId="0" borderId="59" xfId="0" applyFont="1" applyFill="1" applyBorder="1" applyAlignment="1">
      <alignment/>
    </xf>
    <xf numFmtId="43" fontId="2" fillId="0" borderId="26" xfId="59" applyFont="1" applyFill="1" applyBorder="1" applyAlignment="1">
      <alignment/>
    </xf>
    <xf numFmtId="43" fontId="1" fillId="0" borderId="26" xfId="59" applyFont="1" applyFill="1" applyBorder="1" applyAlignment="1">
      <alignment/>
    </xf>
    <xf numFmtId="43" fontId="1" fillId="0" borderId="29" xfId="59" applyFont="1" applyFill="1" applyBorder="1" applyAlignment="1">
      <alignment/>
    </xf>
    <xf numFmtId="43" fontId="1" fillId="0" borderId="0" xfId="59" applyFont="1" applyFill="1" applyBorder="1" applyAlignment="1">
      <alignment/>
    </xf>
    <xf numFmtId="43" fontId="1" fillId="0" borderId="18" xfId="59" applyFont="1" applyFill="1" applyBorder="1" applyAlignment="1">
      <alignment/>
    </xf>
    <xf numFmtId="43" fontId="1" fillId="0" borderId="22" xfId="59" applyFont="1" applyFill="1" applyBorder="1" applyAlignment="1">
      <alignment/>
    </xf>
    <xf numFmtId="0" fontId="1" fillId="0" borderId="72" xfId="0" applyFont="1" applyFill="1" applyBorder="1" applyAlignment="1">
      <alignment/>
    </xf>
    <xf numFmtId="3" fontId="29" fillId="0" borderId="0" xfId="59" applyNumberFormat="1" applyFont="1" applyFill="1" applyAlignment="1">
      <alignment horizontal="center"/>
    </xf>
    <xf numFmtId="3" fontId="26" fillId="0" borderId="0" xfId="59" applyNumberFormat="1" applyFont="1" applyFill="1" applyAlignment="1">
      <alignment horizontal="center"/>
    </xf>
    <xf numFmtId="3" fontId="5" fillId="0" borderId="0" xfId="59" applyNumberFormat="1" applyFont="1" applyFill="1" applyAlignment="1">
      <alignment horizontal="center"/>
    </xf>
    <xf numFmtId="3" fontId="11" fillId="0" borderId="0" xfId="59" applyNumberFormat="1" applyFont="1" applyFill="1" applyAlignment="1">
      <alignment horizontal="center"/>
    </xf>
    <xf numFmtId="3" fontId="2" fillId="0" borderId="34" xfId="59" applyNumberFormat="1" applyFont="1" applyFill="1" applyBorder="1" applyAlignment="1">
      <alignment horizontal="center"/>
    </xf>
    <xf numFmtId="3" fontId="1" fillId="0" borderId="51" xfId="59" applyNumberFormat="1" applyFont="1" applyFill="1" applyBorder="1" applyAlignment="1">
      <alignment horizontal="center"/>
    </xf>
    <xf numFmtId="3" fontId="1" fillId="0" borderId="76" xfId="59" applyNumberFormat="1" applyFont="1" applyFill="1" applyBorder="1" applyAlignment="1">
      <alignment horizontal="center"/>
    </xf>
    <xf numFmtId="3" fontId="1" fillId="0" borderId="77" xfId="59" applyNumberFormat="1" applyFont="1" applyFill="1" applyBorder="1" applyAlignment="1">
      <alignment horizontal="center"/>
    </xf>
    <xf numFmtId="3" fontId="1" fillId="0" borderId="48" xfId="59" applyNumberFormat="1" applyFont="1" applyFill="1" applyBorder="1" applyAlignment="1">
      <alignment horizontal="center"/>
    </xf>
    <xf numFmtId="3" fontId="1" fillId="0" borderId="23" xfId="59" applyNumberFormat="1" applyFont="1" applyFill="1" applyBorder="1" applyAlignment="1">
      <alignment horizontal="center"/>
    </xf>
    <xf numFmtId="3" fontId="1" fillId="0" borderId="24" xfId="59" applyNumberFormat="1" applyFont="1" applyFill="1" applyBorder="1" applyAlignment="1">
      <alignment horizontal="center"/>
    </xf>
    <xf numFmtId="3" fontId="11" fillId="0" borderId="0" xfId="59" applyNumberFormat="1" applyFont="1" applyFill="1" applyBorder="1" applyAlignment="1">
      <alignment horizontal="center"/>
    </xf>
    <xf numFmtId="3" fontId="6" fillId="0" borderId="0" xfId="59" applyNumberFormat="1" applyFont="1" applyFill="1" applyAlignment="1">
      <alignment horizontal="center"/>
    </xf>
    <xf numFmtId="3" fontId="2" fillId="0" borderId="38" xfId="59" applyNumberFormat="1" applyFont="1" applyFill="1" applyBorder="1" applyAlignment="1">
      <alignment horizontal="center"/>
    </xf>
    <xf numFmtId="3" fontId="2" fillId="0" borderId="23" xfId="59" applyNumberFormat="1" applyFont="1" applyFill="1" applyBorder="1" applyAlignment="1">
      <alignment horizontal="center"/>
    </xf>
    <xf numFmtId="3" fontId="2" fillId="0" borderId="56" xfId="59" applyNumberFormat="1" applyFont="1" applyFill="1" applyBorder="1" applyAlignment="1">
      <alignment horizontal="center"/>
    </xf>
    <xf numFmtId="3" fontId="10" fillId="0" borderId="0" xfId="59" applyNumberFormat="1" applyFont="1" applyFill="1" applyBorder="1" applyAlignment="1">
      <alignment horizontal="center"/>
    </xf>
    <xf numFmtId="3" fontId="0" fillId="0" borderId="0" xfId="59" applyNumberFormat="1" applyFont="1" applyFill="1" applyAlignment="1">
      <alignment horizontal="center"/>
    </xf>
    <xf numFmtId="3" fontId="1" fillId="0" borderId="60" xfId="59" applyNumberFormat="1" applyFont="1" applyFill="1" applyBorder="1" applyAlignment="1">
      <alignment horizontal="center"/>
    </xf>
    <xf numFmtId="43" fontId="1" fillId="0" borderId="74" xfId="59" applyFont="1" applyFill="1" applyBorder="1" applyAlignment="1">
      <alignment/>
    </xf>
    <xf numFmtId="43" fontId="30" fillId="0" borderId="0" xfId="59" applyFont="1" applyFill="1" applyAlignment="1">
      <alignment/>
    </xf>
    <xf numFmtId="0" fontId="24" fillId="0" borderId="56" xfId="0" applyFont="1" applyFill="1" applyBorder="1" applyAlignment="1">
      <alignment/>
    </xf>
    <xf numFmtId="43" fontId="1" fillId="0" borderId="57" xfId="59" applyFont="1" applyFill="1" applyBorder="1" applyAlignment="1">
      <alignment horizontal="center"/>
    </xf>
    <xf numFmtId="43" fontId="1" fillId="0" borderId="78" xfId="59" applyFont="1" applyFill="1" applyBorder="1" applyAlignment="1">
      <alignment/>
    </xf>
    <xf numFmtId="43" fontId="2" fillId="0" borderId="57" xfId="59" applyFont="1" applyFill="1" applyBorder="1" applyAlignment="1">
      <alignment/>
    </xf>
    <xf numFmtId="43" fontId="2" fillId="0" borderId="58" xfId="59" applyFont="1" applyFill="1" applyBorder="1" applyAlignment="1">
      <alignment/>
    </xf>
    <xf numFmtId="43" fontId="2" fillId="0" borderId="72" xfId="59" applyFont="1" applyFill="1" applyBorder="1" applyAlignment="1">
      <alignment/>
    </xf>
    <xf numFmtId="170" fontId="1" fillId="0" borderId="36" xfId="59" applyNumberFormat="1" applyFont="1" applyFill="1" applyBorder="1" applyAlignment="1">
      <alignment horizontal="center"/>
    </xf>
    <xf numFmtId="170" fontId="1" fillId="0" borderId="38" xfId="59" applyNumberFormat="1" applyFont="1" applyFill="1" applyBorder="1" applyAlignment="1">
      <alignment horizontal="center"/>
    </xf>
    <xf numFmtId="43" fontId="1" fillId="0" borderId="36" xfId="59" applyFont="1" applyFill="1" applyBorder="1" applyAlignment="1">
      <alignment horizontal="center"/>
    </xf>
    <xf numFmtId="43" fontId="1" fillId="0" borderId="79" xfId="59" applyFont="1" applyFill="1" applyBorder="1" applyAlignment="1">
      <alignment/>
    </xf>
    <xf numFmtId="3" fontId="1" fillId="0" borderId="46" xfId="59" applyNumberFormat="1" applyFont="1" applyFill="1" applyBorder="1" applyAlignment="1">
      <alignment horizontal="center"/>
    </xf>
    <xf numFmtId="43" fontId="1" fillId="0" borderId="36" xfId="59" applyFont="1" applyFill="1" applyBorder="1" applyAlignment="1">
      <alignment/>
    </xf>
    <xf numFmtId="43" fontId="0" fillId="0" borderId="23" xfId="59" applyFont="1" applyBorder="1" applyAlignment="1">
      <alignment horizontal="center"/>
    </xf>
    <xf numFmtId="43" fontId="0" fillId="0" borderId="54" xfId="59" applyFont="1" applyFill="1" applyBorder="1" applyAlignment="1">
      <alignment horizontal="center"/>
    </xf>
    <xf numFmtId="0" fontId="1" fillId="24" borderId="23" xfId="0" applyFont="1" applyFill="1" applyBorder="1" applyAlignment="1">
      <alignment/>
    </xf>
    <xf numFmtId="0" fontId="1" fillId="0" borderId="44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28" xfId="0" applyFont="1" applyBorder="1" applyAlignment="1">
      <alignment/>
    </xf>
    <xf numFmtId="3" fontId="2" fillId="0" borderId="0" xfId="59" applyNumberFormat="1" applyFont="1" applyFill="1" applyAlignment="1">
      <alignment horizontal="center"/>
    </xf>
    <xf numFmtId="3" fontId="2" fillId="0" borderId="51" xfId="59" applyNumberFormat="1" applyFont="1" applyFill="1" applyBorder="1" applyAlignment="1">
      <alignment horizontal="center"/>
    </xf>
    <xf numFmtId="3" fontId="2" fillId="0" borderId="0" xfId="59" applyNumberFormat="1" applyFont="1" applyFill="1" applyBorder="1" applyAlignment="1">
      <alignment horizontal="center"/>
    </xf>
    <xf numFmtId="3" fontId="0" fillId="0" borderId="0" xfId="59" applyNumberFormat="1" applyFont="1" applyFill="1" applyAlignment="1">
      <alignment horizontal="center"/>
    </xf>
    <xf numFmtId="3" fontId="2" fillId="0" borderId="56" xfId="59" applyNumberFormat="1" applyFont="1" applyFill="1" applyBorder="1" applyAlignment="1">
      <alignment horizontal="center"/>
    </xf>
    <xf numFmtId="43" fontId="1" fillId="0" borderId="65" xfId="59" applyFont="1" applyFill="1" applyBorder="1" applyAlignment="1">
      <alignment/>
    </xf>
    <xf numFmtId="3" fontId="22" fillId="0" borderId="42" xfId="0" applyNumberFormat="1" applyFont="1" applyFill="1" applyBorder="1" applyAlignment="1">
      <alignment horizontal="center"/>
    </xf>
    <xf numFmtId="3" fontId="2" fillId="0" borderId="66" xfId="59" applyNumberFormat="1" applyFont="1" applyFill="1" applyBorder="1" applyAlignment="1">
      <alignment horizontal="center"/>
    </xf>
    <xf numFmtId="3" fontId="29" fillId="0" borderId="0" xfId="0" applyNumberFormat="1" applyFont="1" applyFill="1" applyAlignment="1">
      <alignment horizontal="center"/>
    </xf>
    <xf numFmtId="3" fontId="26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11" fillId="0" borderId="0" xfId="0" applyNumberFormat="1" applyFont="1" applyFill="1" applyAlignment="1">
      <alignment horizontal="center"/>
    </xf>
    <xf numFmtId="3" fontId="1" fillId="0" borderId="49" xfId="0" applyNumberFormat="1" applyFont="1" applyFill="1" applyBorder="1" applyAlignment="1">
      <alignment horizontal="center"/>
    </xf>
    <xf numFmtId="3" fontId="1" fillId="0" borderId="80" xfId="0" applyNumberFormat="1" applyFont="1" applyFill="1" applyBorder="1" applyAlignment="1">
      <alignment horizontal="center"/>
    </xf>
    <xf numFmtId="3" fontId="1" fillId="0" borderId="51" xfId="0" applyNumberFormat="1" applyFont="1" applyFill="1" applyBorder="1" applyAlignment="1">
      <alignment horizontal="center"/>
    </xf>
    <xf numFmtId="3" fontId="1" fillId="0" borderId="46" xfId="0" applyNumberFormat="1" applyFont="1" applyFill="1" applyBorder="1" applyAlignment="1">
      <alignment horizontal="center"/>
    </xf>
    <xf numFmtId="3" fontId="1" fillId="0" borderId="77" xfId="0" applyNumberFormat="1" applyFont="1" applyFill="1" applyBorder="1" applyAlignment="1">
      <alignment horizontal="center"/>
    </xf>
    <xf numFmtId="3" fontId="1" fillId="0" borderId="81" xfId="0" applyNumberFormat="1" applyFont="1" applyFill="1" applyBorder="1" applyAlignment="1">
      <alignment horizontal="center"/>
    </xf>
    <xf numFmtId="3" fontId="2" fillId="0" borderId="56" xfId="0" applyNumberFormat="1" applyFont="1" applyFill="1" applyBorder="1" applyAlignment="1">
      <alignment horizontal="center"/>
    </xf>
    <xf numFmtId="3" fontId="1" fillId="0" borderId="23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1" fillId="0" borderId="82" xfId="0" applyNumberFormat="1" applyFont="1" applyFill="1" applyBorder="1" applyAlignment="1">
      <alignment horizontal="center"/>
    </xf>
    <xf numFmtId="3" fontId="1" fillId="0" borderId="42" xfId="0" applyNumberFormat="1" applyFont="1" applyFill="1" applyBorder="1" applyAlignment="1">
      <alignment horizontal="center"/>
    </xf>
    <xf numFmtId="3" fontId="1" fillId="0" borderId="34" xfId="0" applyNumberFormat="1" applyFont="1" applyFill="1" applyBorder="1" applyAlignment="1">
      <alignment horizontal="center"/>
    </xf>
    <xf numFmtId="3" fontId="1" fillId="0" borderId="56" xfId="59" applyNumberFormat="1" applyFont="1" applyFill="1" applyBorder="1" applyAlignment="1">
      <alignment horizontal="center"/>
    </xf>
    <xf numFmtId="3" fontId="1" fillId="0" borderId="33" xfId="0" applyNumberFormat="1" applyFont="1" applyFill="1" applyBorder="1" applyAlignment="1">
      <alignment horizontal="center"/>
    </xf>
    <xf numFmtId="3" fontId="1" fillId="0" borderId="80" xfId="59" applyNumberFormat="1" applyFont="1" applyFill="1" applyBorder="1" applyAlignment="1">
      <alignment horizontal="center"/>
    </xf>
    <xf numFmtId="3" fontId="1" fillId="0" borderId="66" xfId="59" applyNumberFormat="1" applyFont="1" applyFill="1" applyBorder="1" applyAlignment="1">
      <alignment horizontal="center"/>
    </xf>
    <xf numFmtId="3" fontId="1" fillId="0" borderId="35" xfId="59" applyNumberFormat="1" applyFont="1" applyFill="1" applyBorder="1" applyAlignment="1">
      <alignment horizontal="center"/>
    </xf>
    <xf numFmtId="3" fontId="23" fillId="0" borderId="34" xfId="0" applyNumberFormat="1" applyFont="1" applyFill="1" applyBorder="1" applyAlignment="1">
      <alignment horizontal="center"/>
    </xf>
    <xf numFmtId="3" fontId="22" fillId="0" borderId="34" xfId="0" applyNumberFormat="1" applyFont="1" applyFill="1" applyBorder="1" applyAlignment="1">
      <alignment horizontal="center"/>
    </xf>
    <xf numFmtId="3" fontId="22" fillId="0" borderId="51" xfId="0" applyNumberFormat="1" applyFont="1" applyFill="1" applyBorder="1" applyAlignment="1">
      <alignment horizontal="center"/>
    </xf>
    <xf numFmtId="3" fontId="1" fillId="0" borderId="73" xfId="59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0" fillId="4" borderId="0" xfId="59" applyNumberFormat="1" applyFont="1" applyFill="1" applyBorder="1" applyAlignment="1">
      <alignment horizontal="center"/>
    </xf>
    <xf numFmtId="0" fontId="1" fillId="0" borderId="41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1" fillId="0" borderId="83" xfId="0" applyFont="1" applyFill="1" applyBorder="1" applyAlignment="1">
      <alignment/>
    </xf>
    <xf numFmtId="3" fontId="0" fillId="0" borderId="36" xfId="0" applyNumberFormat="1" applyFont="1" applyFill="1" applyBorder="1" applyAlignment="1">
      <alignment horizontal="center"/>
    </xf>
    <xf numFmtId="3" fontId="0" fillId="0" borderId="38" xfId="0" applyNumberFormat="1" applyFont="1" applyFill="1" applyBorder="1" applyAlignment="1">
      <alignment horizontal="center"/>
    </xf>
    <xf numFmtId="3" fontId="22" fillId="0" borderId="42" xfId="0" applyNumberFormat="1" applyFont="1" applyFill="1" applyBorder="1" applyAlignment="1">
      <alignment horizontal="center" wrapText="1"/>
    </xf>
    <xf numFmtId="3" fontId="22" fillId="0" borderId="51" xfId="0" applyNumberFormat="1" applyFont="1" applyFill="1" applyBorder="1" applyAlignment="1">
      <alignment horizontal="center" wrapText="1"/>
    </xf>
    <xf numFmtId="3" fontId="22" fillId="0" borderId="36" xfId="0" applyNumberFormat="1" applyFont="1" applyFill="1" applyBorder="1" applyAlignment="1">
      <alignment horizontal="center"/>
    </xf>
    <xf numFmtId="3" fontId="22" fillId="0" borderId="38" xfId="0" applyNumberFormat="1" applyFont="1" applyFill="1" applyBorder="1" applyAlignment="1">
      <alignment horizontal="center"/>
    </xf>
    <xf numFmtId="3" fontId="22" fillId="0" borderId="39" xfId="0" applyNumberFormat="1" applyFont="1" applyFill="1" applyBorder="1" applyAlignment="1">
      <alignment horizontal="center" wrapText="1"/>
    </xf>
    <xf numFmtId="0" fontId="1" fillId="0" borderId="47" xfId="0" applyFont="1" applyFill="1" applyBorder="1" applyAlignment="1">
      <alignment/>
    </xf>
    <xf numFmtId="0" fontId="1" fillId="0" borderId="84" xfId="0" applyFont="1" applyFill="1" applyBorder="1" applyAlignment="1">
      <alignment/>
    </xf>
    <xf numFmtId="0" fontId="1" fillId="0" borderId="85" xfId="0" applyFont="1" applyFill="1" applyBorder="1" applyAlignment="1">
      <alignment/>
    </xf>
    <xf numFmtId="0" fontId="1" fillId="0" borderId="71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1" fillId="0" borderId="55" xfId="0" applyFont="1" applyFill="1" applyBorder="1" applyAlignment="1">
      <alignment/>
    </xf>
    <xf numFmtId="0" fontId="2" fillId="0" borderId="72" xfId="0" applyFont="1" applyFill="1" applyBorder="1" applyAlignment="1">
      <alignment/>
    </xf>
    <xf numFmtId="3" fontId="22" fillId="0" borderId="39" xfId="0" applyNumberFormat="1" applyFont="1" applyFill="1" applyBorder="1" applyAlignment="1">
      <alignment horizontal="center"/>
    </xf>
    <xf numFmtId="3" fontId="22" fillId="0" borderId="38" xfId="0" applyNumberFormat="1" applyFont="1" applyFill="1" applyBorder="1" applyAlignment="1">
      <alignment horizontal="center" wrapText="1"/>
    </xf>
    <xf numFmtId="3" fontId="22" fillId="0" borderId="37" xfId="0" applyNumberFormat="1" applyFont="1" applyFill="1" applyBorder="1" applyAlignment="1">
      <alignment horizontal="center" wrapText="1"/>
    </xf>
    <xf numFmtId="3" fontId="22" fillId="0" borderId="40" xfId="0" applyNumberFormat="1" applyFont="1" applyFill="1" applyBorder="1" applyAlignment="1">
      <alignment horizontal="center" wrapText="1"/>
    </xf>
    <xf numFmtId="3" fontId="22" fillId="0" borderId="57" xfId="0" applyNumberFormat="1" applyFont="1" applyFill="1" applyBorder="1" applyAlignment="1">
      <alignment horizontal="center" wrapText="1"/>
    </xf>
    <xf numFmtId="3" fontId="25" fillId="0" borderId="64" xfId="59" applyNumberFormat="1" applyFont="1" applyFill="1" applyBorder="1" applyAlignment="1">
      <alignment horizontal="center"/>
    </xf>
    <xf numFmtId="3" fontId="2" fillId="0" borderId="39" xfId="59" applyNumberFormat="1" applyFont="1" applyFill="1" applyBorder="1" applyAlignment="1">
      <alignment horizontal="center"/>
    </xf>
    <xf numFmtId="3" fontId="2" fillId="0" borderId="37" xfId="59" applyNumberFormat="1" applyFont="1" applyFill="1" applyBorder="1" applyAlignment="1">
      <alignment horizontal="center"/>
    </xf>
    <xf numFmtId="3" fontId="2" fillId="0" borderId="61" xfId="59" applyNumberFormat="1" applyFont="1" applyFill="1" applyBorder="1" applyAlignment="1">
      <alignment horizontal="center"/>
    </xf>
    <xf numFmtId="3" fontId="2" fillId="0" borderId="57" xfId="59" applyNumberFormat="1" applyFont="1" applyFill="1" applyBorder="1" applyAlignment="1">
      <alignment horizontal="center"/>
    </xf>
    <xf numFmtId="3" fontId="22" fillId="0" borderId="73" xfId="0" applyNumberFormat="1" applyFont="1" applyFill="1" applyBorder="1" applyAlignment="1">
      <alignment horizontal="center" wrapText="1"/>
    </xf>
    <xf numFmtId="3" fontId="22" fillId="0" borderId="35" xfId="0" applyNumberFormat="1" applyFont="1" applyFill="1" applyBorder="1" applyAlignment="1">
      <alignment horizontal="center" wrapText="1"/>
    </xf>
    <xf numFmtId="3" fontId="22" fillId="0" borderId="56" xfId="0" applyNumberFormat="1" applyFont="1" applyFill="1" applyBorder="1" applyAlignment="1">
      <alignment horizontal="center" wrapText="1"/>
    </xf>
    <xf numFmtId="3" fontId="22" fillId="0" borderId="34" xfId="0" applyNumberFormat="1" applyFont="1" applyFill="1" applyBorder="1" applyAlignment="1">
      <alignment horizontal="center" wrapText="1"/>
    </xf>
    <xf numFmtId="3" fontId="2" fillId="0" borderId="80" xfId="59" applyNumberFormat="1" applyFont="1" applyFill="1" applyBorder="1" applyAlignment="1">
      <alignment horizontal="center"/>
    </xf>
    <xf numFmtId="3" fontId="2" fillId="0" borderId="33" xfId="59" applyNumberFormat="1" applyFont="1" applyFill="1" applyBorder="1" applyAlignment="1">
      <alignment horizontal="center"/>
    </xf>
    <xf numFmtId="3" fontId="0" fillId="4" borderId="79" xfId="59" applyNumberFormat="1" applyFont="1" applyFill="1" applyBorder="1" applyAlignment="1">
      <alignment horizontal="center"/>
    </xf>
    <xf numFmtId="3" fontId="22" fillId="4" borderId="26" xfId="0" applyNumberFormat="1" applyFont="1" applyFill="1" applyBorder="1" applyAlignment="1">
      <alignment horizontal="center" wrapText="1"/>
    </xf>
    <xf numFmtId="3" fontId="0" fillId="4" borderId="18" xfId="59" applyNumberFormat="1" applyFont="1" applyFill="1" applyBorder="1" applyAlignment="1">
      <alignment horizontal="center"/>
    </xf>
    <xf numFmtId="3" fontId="1" fillId="4" borderId="78" xfId="59" applyNumberFormat="1" applyFont="1" applyFill="1" applyBorder="1" applyAlignment="1">
      <alignment horizontal="center"/>
    </xf>
    <xf numFmtId="3" fontId="1" fillId="4" borderId="22" xfId="59" applyNumberFormat="1" applyFont="1" applyFill="1" applyBorder="1" applyAlignment="1">
      <alignment horizontal="center"/>
    </xf>
    <xf numFmtId="3" fontId="0" fillId="4" borderId="75" xfId="59" applyNumberFormat="1" applyFont="1" applyFill="1" applyBorder="1" applyAlignment="1">
      <alignment horizontal="center"/>
    </xf>
    <xf numFmtId="3" fontId="1" fillId="4" borderId="26" xfId="59" applyNumberFormat="1" applyFont="1" applyFill="1" applyBorder="1" applyAlignment="1">
      <alignment horizontal="center"/>
    </xf>
    <xf numFmtId="3" fontId="0" fillId="4" borderId="26" xfId="59" applyNumberFormat="1" applyFont="1" applyFill="1" applyBorder="1" applyAlignment="1">
      <alignment horizontal="center"/>
    </xf>
    <xf numFmtId="3" fontId="0" fillId="4" borderId="75" xfId="59" applyNumberFormat="1" applyFont="1" applyFill="1" applyBorder="1" applyAlignment="1">
      <alignment horizontal="center"/>
    </xf>
    <xf numFmtId="3" fontId="2" fillId="4" borderId="69" xfId="59" applyNumberFormat="1" applyFont="1" applyFill="1" applyBorder="1" applyAlignment="1">
      <alignment horizontal="center"/>
    </xf>
    <xf numFmtId="3" fontId="0" fillId="4" borderId="74" xfId="59" applyNumberFormat="1" applyFont="1" applyFill="1" applyBorder="1" applyAlignment="1">
      <alignment horizontal="center"/>
    </xf>
    <xf numFmtId="3" fontId="0" fillId="4" borderId="75" xfId="0" applyNumberFormat="1" applyFont="1" applyFill="1" applyBorder="1" applyAlignment="1">
      <alignment horizontal="center"/>
    </xf>
    <xf numFmtId="3" fontId="1" fillId="4" borderId="74" xfId="59" applyNumberFormat="1" applyFont="1" applyFill="1" applyBorder="1" applyAlignment="1">
      <alignment horizontal="center"/>
    </xf>
    <xf numFmtId="3" fontId="0" fillId="4" borderId="54" xfId="0" applyNumberFormat="1" applyFont="1" applyFill="1" applyBorder="1" applyAlignment="1">
      <alignment horizontal="center"/>
    </xf>
    <xf numFmtId="3" fontId="1" fillId="4" borderId="75" xfId="59" applyNumberFormat="1" applyFont="1" applyFill="1" applyBorder="1" applyAlignment="1">
      <alignment horizontal="center"/>
    </xf>
    <xf numFmtId="3" fontId="1" fillId="4" borderId="54" xfId="59" applyNumberFormat="1" applyFont="1" applyFill="1" applyBorder="1" applyAlignment="1">
      <alignment horizontal="center"/>
    </xf>
    <xf numFmtId="3" fontId="1" fillId="4" borderId="55" xfId="59" applyNumberFormat="1" applyFont="1" applyFill="1" applyBorder="1" applyAlignment="1">
      <alignment horizontal="center"/>
    </xf>
    <xf numFmtId="3" fontId="2" fillId="4" borderId="71" xfId="59" applyNumberFormat="1" applyFont="1" applyFill="1" applyBorder="1" applyAlignment="1">
      <alignment horizontal="center"/>
    </xf>
    <xf numFmtId="3" fontId="1" fillId="4" borderId="72" xfId="59" applyNumberFormat="1" applyFont="1" applyFill="1" applyBorder="1" applyAlignment="1">
      <alignment horizontal="center"/>
    </xf>
    <xf numFmtId="3" fontId="2" fillId="25" borderId="49" xfId="59" applyNumberFormat="1" applyFont="1" applyFill="1" applyBorder="1" applyAlignment="1">
      <alignment horizontal="center"/>
    </xf>
    <xf numFmtId="3" fontId="1" fillId="0" borderId="53" xfId="59" applyNumberFormat="1" applyFont="1" applyFill="1" applyBorder="1" applyAlignment="1">
      <alignment horizontal="center"/>
    </xf>
    <xf numFmtId="3" fontId="1" fillId="0" borderId="61" xfId="59" applyNumberFormat="1" applyFont="1" applyFill="1" applyBorder="1" applyAlignment="1">
      <alignment horizontal="center"/>
    </xf>
    <xf numFmtId="3" fontId="1" fillId="0" borderId="49" xfId="59" applyNumberFormat="1" applyFont="1" applyFill="1" applyBorder="1" applyAlignment="1">
      <alignment horizontal="center"/>
    </xf>
    <xf numFmtId="3" fontId="1" fillId="0" borderId="81" xfId="59" applyNumberFormat="1" applyFont="1" applyFill="1" applyBorder="1" applyAlignment="1">
      <alignment horizontal="center"/>
    </xf>
    <xf numFmtId="3" fontId="2" fillId="0" borderId="61" xfId="59" applyNumberFormat="1" applyFont="1" applyFill="1" applyBorder="1" applyAlignment="1">
      <alignment horizontal="center"/>
    </xf>
    <xf numFmtId="3" fontId="1" fillId="0" borderId="57" xfId="59" applyNumberFormat="1" applyFont="1" applyFill="1" applyBorder="1" applyAlignment="1">
      <alignment horizontal="center"/>
    </xf>
    <xf numFmtId="3" fontId="22" fillId="0" borderId="33" xfId="0" applyNumberFormat="1" applyFont="1" applyFill="1" applyBorder="1" applyAlignment="1">
      <alignment horizontal="center"/>
    </xf>
    <xf numFmtId="3" fontId="22" fillId="0" borderId="33" xfId="0" applyNumberFormat="1" applyFont="1" applyFill="1" applyBorder="1" applyAlignment="1">
      <alignment horizontal="center" wrapText="1"/>
    </xf>
    <xf numFmtId="3" fontId="25" fillId="0" borderId="80" xfId="59" applyNumberFormat="1" applyFont="1" applyFill="1" applyBorder="1" applyAlignment="1">
      <alignment horizontal="center"/>
    </xf>
    <xf numFmtId="3" fontId="0" fillId="0" borderId="80" xfId="0" applyNumberFormat="1" applyBorder="1" applyAlignment="1">
      <alignment horizontal="center"/>
    </xf>
    <xf numFmtId="43" fontId="2" fillId="0" borderId="79" xfId="59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3" fontId="2" fillId="0" borderId="42" xfId="59" applyNumberFormat="1" applyFont="1" applyFill="1" applyBorder="1" applyAlignment="1">
      <alignment horizontal="center" vertical="center" wrapText="1"/>
    </xf>
    <xf numFmtId="3" fontId="2" fillId="0" borderId="46" xfId="59" applyNumberFormat="1" applyFont="1" applyFill="1" applyBorder="1" applyAlignment="1">
      <alignment horizontal="center" vertical="center" wrapText="1"/>
    </xf>
    <xf numFmtId="3" fontId="2" fillId="0" borderId="41" xfId="59" applyNumberFormat="1" applyFont="1" applyFill="1" applyBorder="1" applyAlignment="1">
      <alignment horizontal="center" vertical="center" wrapText="1"/>
    </xf>
    <xf numFmtId="43" fontId="1" fillId="0" borderId="36" xfId="59" applyFont="1" applyFill="1" applyBorder="1" applyAlignment="1">
      <alignment horizontal="center" vertical="center" wrapText="1"/>
    </xf>
    <xf numFmtId="43" fontId="1" fillId="0" borderId="43" xfId="59" applyFont="1" applyFill="1" applyBorder="1" applyAlignment="1">
      <alignment horizontal="center" vertical="center" wrapText="1"/>
    </xf>
    <xf numFmtId="43" fontId="2" fillId="0" borderId="43" xfId="59" applyFont="1" applyFill="1" applyBorder="1" applyAlignment="1">
      <alignment horizontal="center" vertical="center" wrapText="1"/>
    </xf>
    <xf numFmtId="43" fontId="1" fillId="0" borderId="74" xfId="59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3" fontId="1" fillId="0" borderId="33" xfId="59" applyNumberFormat="1" applyFont="1" applyFill="1" applyBorder="1" applyAlignment="1">
      <alignment horizontal="center"/>
    </xf>
    <xf numFmtId="3" fontId="1" fillId="0" borderId="22" xfId="59" applyNumberFormat="1" applyFont="1" applyFill="1" applyBorder="1" applyAlignment="1">
      <alignment horizontal="center"/>
    </xf>
    <xf numFmtId="3" fontId="22" fillId="4" borderId="18" xfId="0" applyNumberFormat="1" applyFont="1" applyFill="1" applyBorder="1" applyAlignment="1">
      <alignment horizontal="center" wrapText="1"/>
    </xf>
    <xf numFmtId="3" fontId="1" fillId="0" borderId="35" xfId="0" applyNumberFormat="1" applyFont="1" applyFill="1" applyBorder="1" applyAlignment="1">
      <alignment horizontal="center"/>
    </xf>
    <xf numFmtId="3" fontId="2" fillId="0" borderId="65" xfId="59" applyNumberFormat="1" applyFont="1" applyFill="1" applyBorder="1" applyAlignment="1">
      <alignment horizontal="center" vertical="center" wrapText="1"/>
    </xf>
    <xf numFmtId="3" fontId="2" fillId="0" borderId="69" xfId="59" applyNumberFormat="1" applyFont="1" applyFill="1" applyBorder="1" applyAlignment="1">
      <alignment horizontal="center" vertical="center" wrapText="1"/>
    </xf>
    <xf numFmtId="3" fontId="2" fillId="0" borderId="80" xfId="59" applyNumberFormat="1" applyFont="1" applyFill="1" applyBorder="1" applyAlignment="1">
      <alignment horizontal="center" vertical="center" wrapText="1"/>
    </xf>
    <xf numFmtId="3" fontId="2" fillId="0" borderId="82" xfId="59" applyNumberFormat="1" applyFont="1" applyFill="1" applyBorder="1" applyAlignment="1">
      <alignment horizontal="center" vertical="center" wrapText="1"/>
    </xf>
    <xf numFmtId="3" fontId="2" fillId="0" borderId="50" xfId="59" applyNumberFormat="1" applyFont="1" applyFill="1" applyBorder="1" applyAlignment="1">
      <alignment horizontal="center"/>
    </xf>
    <xf numFmtId="3" fontId="2" fillId="0" borderId="29" xfId="59" applyNumberFormat="1" applyFont="1" applyFill="1" applyBorder="1" applyAlignment="1">
      <alignment horizontal="center"/>
    </xf>
    <xf numFmtId="3" fontId="2" fillId="0" borderId="53" xfId="59" applyNumberFormat="1" applyFont="1" applyFill="1" applyBorder="1" applyAlignment="1">
      <alignment horizontal="center"/>
    </xf>
    <xf numFmtId="0" fontId="2" fillId="0" borderId="8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43" fontId="2" fillId="0" borderId="80" xfId="59" applyFont="1" applyFill="1" applyBorder="1" applyAlignment="1">
      <alignment horizontal="center" vertical="center" wrapText="1"/>
    </xf>
    <xf numFmtId="43" fontId="2" fillId="0" borderId="33" xfId="59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18.75390625" style="0" customWidth="1"/>
    <col min="2" max="2" width="42.00390625" style="0" customWidth="1"/>
    <col min="4" max="4" width="19.375" style="0" customWidth="1"/>
    <col min="5" max="5" width="22.375" style="0" customWidth="1"/>
    <col min="6" max="6" width="20.125" style="0" customWidth="1"/>
    <col min="8" max="8" width="12.25390625" style="0" customWidth="1"/>
  </cols>
  <sheetData>
    <row r="1" spans="1:8" ht="12.75">
      <c r="A1" s="1" t="s">
        <v>48</v>
      </c>
      <c r="B1" s="1" t="s">
        <v>52</v>
      </c>
      <c r="C1" s="1"/>
      <c r="D1" s="1"/>
      <c r="E1" s="2"/>
      <c r="F1" s="1"/>
      <c r="G1" s="1"/>
      <c r="H1" s="1"/>
    </row>
    <row r="2" spans="1:8" ht="12.75">
      <c r="A2" s="1" t="s">
        <v>44</v>
      </c>
      <c r="B2" s="1"/>
      <c r="C2" s="1"/>
      <c r="D2" s="1"/>
      <c r="E2" s="2"/>
      <c r="F2" s="1"/>
      <c r="G2" s="1"/>
      <c r="H2" s="1"/>
    </row>
    <row r="3" spans="1:8" ht="12.75">
      <c r="A3" s="1" t="s">
        <v>45</v>
      </c>
      <c r="B3" s="1" t="s">
        <v>51</v>
      </c>
      <c r="C3" s="1"/>
      <c r="D3" s="1"/>
      <c r="E3" s="2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 t="s">
        <v>6</v>
      </c>
      <c r="C5" s="1"/>
      <c r="D5" s="1"/>
      <c r="E5" s="2"/>
      <c r="F5" s="1"/>
      <c r="G5" s="1"/>
      <c r="H5" s="1"/>
    </row>
    <row r="6" spans="1:8" ht="12.75">
      <c r="A6" s="1"/>
      <c r="B6" s="48" t="s">
        <v>55</v>
      </c>
      <c r="C6" s="1"/>
      <c r="D6" s="1"/>
      <c r="E6" s="2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"/>
      <c r="B8" s="1" t="s">
        <v>46</v>
      </c>
      <c r="C8" s="3"/>
      <c r="D8" s="48" t="s">
        <v>53</v>
      </c>
      <c r="E8" s="2" t="s">
        <v>37</v>
      </c>
      <c r="F8" s="3"/>
      <c r="G8" s="3"/>
      <c r="H8" s="1"/>
    </row>
    <row r="9" spans="1:8" ht="12.75">
      <c r="A9" s="1"/>
      <c r="B9" s="1" t="s">
        <v>39</v>
      </c>
      <c r="C9" s="3"/>
      <c r="D9" s="1" t="s">
        <v>32</v>
      </c>
      <c r="E9" s="2"/>
      <c r="F9" s="3"/>
      <c r="G9" s="3"/>
      <c r="H9" s="1"/>
    </row>
    <row r="10" spans="1:8" ht="12.75">
      <c r="A10" s="1"/>
      <c r="B10" s="1" t="s">
        <v>36</v>
      </c>
      <c r="C10" s="3"/>
      <c r="D10" s="1">
        <v>32</v>
      </c>
      <c r="E10" s="2" t="s">
        <v>38</v>
      </c>
      <c r="F10" s="3">
        <v>95</v>
      </c>
      <c r="G10" s="3"/>
      <c r="H10" s="1"/>
    </row>
    <row r="11" spans="1:8" ht="13.5" thickBot="1">
      <c r="A11" s="1"/>
      <c r="B11" s="1" t="s">
        <v>54</v>
      </c>
      <c r="C11" s="1"/>
      <c r="D11" s="1"/>
      <c r="E11" s="2"/>
      <c r="F11" s="1"/>
      <c r="G11" s="1"/>
      <c r="H11" s="1"/>
    </row>
    <row r="12" spans="1:8" ht="12.75">
      <c r="A12" s="4" t="s">
        <v>30</v>
      </c>
      <c r="B12" s="5" t="s">
        <v>1</v>
      </c>
      <c r="C12" s="6" t="s">
        <v>2</v>
      </c>
      <c r="D12" s="7" t="s">
        <v>4</v>
      </c>
      <c r="E12" s="8" t="s">
        <v>33</v>
      </c>
      <c r="F12" s="9"/>
      <c r="G12" s="9"/>
      <c r="H12" s="10"/>
    </row>
    <row r="13" spans="1:8" ht="12.75">
      <c r="A13" s="11" t="s">
        <v>31</v>
      </c>
      <c r="B13" s="12"/>
      <c r="C13" s="13" t="s">
        <v>3</v>
      </c>
      <c r="D13" s="14" t="s">
        <v>5</v>
      </c>
      <c r="E13" s="15" t="s">
        <v>34</v>
      </c>
      <c r="F13" s="14" t="s">
        <v>49</v>
      </c>
      <c r="G13" s="14"/>
      <c r="H13" s="16" t="s">
        <v>42</v>
      </c>
    </row>
    <row r="14" spans="1:8" ht="12.75">
      <c r="A14" s="11"/>
      <c r="B14" s="12"/>
      <c r="C14" s="13"/>
      <c r="D14" s="14"/>
      <c r="E14" s="15" t="s">
        <v>40</v>
      </c>
      <c r="F14" s="14" t="s">
        <v>50</v>
      </c>
      <c r="G14" s="14"/>
      <c r="H14" s="16" t="s">
        <v>41</v>
      </c>
    </row>
    <row r="15" spans="1:8" ht="12.75">
      <c r="A15" s="17">
        <v>1</v>
      </c>
      <c r="B15" s="18" t="s">
        <v>22</v>
      </c>
      <c r="C15" s="19"/>
      <c r="D15" s="20"/>
      <c r="E15" s="21"/>
      <c r="F15" s="20"/>
      <c r="G15" s="20"/>
      <c r="H15" s="22"/>
    </row>
    <row r="16" spans="1:8" ht="12.75">
      <c r="A16" s="23"/>
      <c r="B16" s="24" t="s">
        <v>23</v>
      </c>
      <c r="C16" s="25">
        <v>3.39</v>
      </c>
      <c r="D16" s="26" t="s">
        <v>16</v>
      </c>
      <c r="E16" s="27">
        <v>9831</v>
      </c>
      <c r="F16" s="26"/>
      <c r="G16" s="26"/>
      <c r="H16" s="28"/>
    </row>
    <row r="17" spans="1:8" ht="12.75">
      <c r="A17" s="11">
        <v>2</v>
      </c>
      <c r="B17" s="12" t="s">
        <v>24</v>
      </c>
      <c r="C17" s="29"/>
      <c r="D17" s="14"/>
      <c r="E17" s="30"/>
      <c r="F17" s="14"/>
      <c r="G17" s="14"/>
      <c r="H17" s="16"/>
    </row>
    <row r="18" spans="1:8" ht="12.75">
      <c r="A18" s="23"/>
      <c r="B18" s="24" t="s">
        <v>25</v>
      </c>
      <c r="C18" s="25">
        <v>4.57</v>
      </c>
      <c r="D18" s="26" t="s">
        <v>16</v>
      </c>
      <c r="E18" s="27">
        <v>13253</v>
      </c>
      <c r="F18" s="26"/>
      <c r="G18" s="26"/>
      <c r="H18" s="28"/>
    </row>
    <row r="19" spans="1:8" ht="12.75">
      <c r="A19" s="23">
        <v>3</v>
      </c>
      <c r="B19" s="24" t="s">
        <v>7</v>
      </c>
      <c r="C19" s="25">
        <v>1.29</v>
      </c>
      <c r="D19" s="26" t="s">
        <v>16</v>
      </c>
      <c r="E19" s="30">
        <v>3741</v>
      </c>
      <c r="F19" s="26"/>
      <c r="G19" s="26"/>
      <c r="H19" s="28"/>
    </row>
    <row r="20" spans="1:8" ht="12.75">
      <c r="A20" s="31">
        <v>4</v>
      </c>
      <c r="B20" s="32" t="s">
        <v>8</v>
      </c>
      <c r="C20" s="33">
        <v>0.89</v>
      </c>
      <c r="D20" s="34" t="s">
        <v>16</v>
      </c>
      <c r="E20" s="35"/>
      <c r="F20" s="34"/>
      <c r="G20" s="26"/>
      <c r="H20" s="28"/>
    </row>
    <row r="21" spans="1:8" ht="12.75">
      <c r="A21" s="31">
        <v>5</v>
      </c>
      <c r="B21" s="32" t="s">
        <v>9</v>
      </c>
      <c r="C21" s="49" t="s">
        <v>56</v>
      </c>
      <c r="D21" s="34" t="s">
        <v>16</v>
      </c>
      <c r="E21" s="35">
        <v>3683</v>
      </c>
      <c r="F21" s="34"/>
      <c r="G21" s="26"/>
      <c r="H21" s="28"/>
    </row>
    <row r="22" spans="1:8" ht="12.75">
      <c r="A22" s="31">
        <v>6</v>
      </c>
      <c r="B22" s="32" t="s">
        <v>26</v>
      </c>
      <c r="C22" s="33">
        <v>2.9</v>
      </c>
      <c r="D22" s="34" t="s">
        <v>16</v>
      </c>
      <c r="E22" s="35">
        <v>4925</v>
      </c>
      <c r="F22" s="34"/>
      <c r="G22" s="26"/>
      <c r="H22" s="28"/>
    </row>
    <row r="23" spans="1:8" ht="12.75">
      <c r="A23" s="31">
        <v>7</v>
      </c>
      <c r="B23" s="32" t="s">
        <v>27</v>
      </c>
      <c r="C23" s="33"/>
      <c r="D23" s="34" t="s">
        <v>35</v>
      </c>
      <c r="E23" s="35"/>
      <c r="F23" s="34"/>
      <c r="G23" s="26"/>
      <c r="H23" s="28"/>
    </row>
    <row r="24" spans="1:8" ht="12.75">
      <c r="A24" s="31">
        <v>9</v>
      </c>
      <c r="B24" s="32" t="s">
        <v>10</v>
      </c>
      <c r="C24" s="33">
        <v>0.46</v>
      </c>
      <c r="D24" s="34" t="s">
        <v>18</v>
      </c>
      <c r="E24" s="35">
        <v>29256</v>
      </c>
      <c r="F24" s="36"/>
      <c r="G24" s="37"/>
      <c r="H24" s="28"/>
    </row>
    <row r="25" spans="1:8" ht="12.75">
      <c r="A25" s="31">
        <v>11</v>
      </c>
      <c r="B25" s="32" t="s">
        <v>43</v>
      </c>
      <c r="C25" s="33">
        <v>199.86</v>
      </c>
      <c r="D25" s="34" t="s">
        <v>11</v>
      </c>
      <c r="E25" s="35">
        <v>15533</v>
      </c>
      <c r="F25" s="36"/>
      <c r="G25" s="37"/>
      <c r="H25" s="28"/>
    </row>
    <row r="26" spans="1:8" ht="12.75">
      <c r="A26" s="31"/>
      <c r="B26" s="32" t="s">
        <v>28</v>
      </c>
      <c r="C26" s="33">
        <v>11.14</v>
      </c>
      <c r="D26" s="34" t="s">
        <v>29</v>
      </c>
      <c r="E26" s="35"/>
      <c r="F26" s="34"/>
      <c r="G26" s="26"/>
      <c r="H26" s="28"/>
    </row>
    <row r="27" spans="1:8" ht="12.75">
      <c r="A27" s="31">
        <v>12</v>
      </c>
      <c r="B27" s="32" t="s">
        <v>12</v>
      </c>
      <c r="C27" s="33">
        <v>217.69</v>
      </c>
      <c r="D27" s="34" t="s">
        <v>11</v>
      </c>
      <c r="E27" s="35">
        <v>16673</v>
      </c>
      <c r="F27" s="34"/>
      <c r="G27" s="26"/>
      <c r="H27" s="28"/>
    </row>
    <row r="28" spans="1:8" ht="12.75">
      <c r="A28" s="31"/>
      <c r="B28" s="32" t="s">
        <v>28</v>
      </c>
      <c r="C28" s="33">
        <v>47.74</v>
      </c>
      <c r="D28" s="34" t="s">
        <v>29</v>
      </c>
      <c r="E28" s="35"/>
      <c r="F28" s="34"/>
      <c r="G28" s="26"/>
      <c r="H28" s="28"/>
    </row>
    <row r="29" spans="1:8" ht="12.75">
      <c r="A29" s="31">
        <v>13</v>
      </c>
      <c r="B29" s="32" t="s">
        <v>13</v>
      </c>
      <c r="C29" s="33">
        <v>13.29</v>
      </c>
      <c r="D29" s="34" t="s">
        <v>16</v>
      </c>
      <c r="E29" s="35">
        <v>861635.34</v>
      </c>
      <c r="F29" s="34"/>
      <c r="G29" s="26"/>
      <c r="H29" s="28"/>
    </row>
    <row r="30" spans="1:8" ht="12.75">
      <c r="A30" s="31">
        <v>14</v>
      </c>
      <c r="B30" s="32" t="s">
        <v>14</v>
      </c>
      <c r="C30" s="33">
        <v>28.08</v>
      </c>
      <c r="D30" s="34" t="s">
        <v>11</v>
      </c>
      <c r="E30" s="35">
        <v>0</v>
      </c>
      <c r="F30" s="34"/>
      <c r="G30" s="26"/>
      <c r="H30" s="28"/>
    </row>
    <row r="31" spans="1:8" ht="12.75">
      <c r="A31" s="31">
        <v>15</v>
      </c>
      <c r="B31" s="32" t="s">
        <v>0</v>
      </c>
      <c r="C31" s="33">
        <v>28</v>
      </c>
      <c r="D31" s="34" t="s">
        <v>18</v>
      </c>
      <c r="E31" s="35">
        <v>25056</v>
      </c>
      <c r="F31" s="34"/>
      <c r="G31" s="26"/>
      <c r="H31" s="28"/>
    </row>
    <row r="32" spans="1:8" ht="12.75">
      <c r="A32" s="31">
        <v>16</v>
      </c>
      <c r="B32" s="32" t="s">
        <v>15</v>
      </c>
      <c r="C32" s="33">
        <v>111</v>
      </c>
      <c r="D32" s="34" t="s">
        <v>18</v>
      </c>
      <c r="E32" s="35">
        <v>56700</v>
      </c>
      <c r="F32" s="34"/>
      <c r="G32" s="26"/>
      <c r="H32" s="28"/>
    </row>
    <row r="33" spans="1:8" ht="12.75">
      <c r="A33" s="31">
        <v>17</v>
      </c>
      <c r="B33" s="32" t="s">
        <v>17</v>
      </c>
      <c r="C33" s="50" t="s">
        <v>56</v>
      </c>
      <c r="D33" s="34" t="s">
        <v>18</v>
      </c>
      <c r="E33" s="35">
        <v>71997.07</v>
      </c>
      <c r="F33" s="34"/>
      <c r="G33" s="26"/>
      <c r="H33" s="28"/>
    </row>
    <row r="34" spans="1:8" ht="12.75">
      <c r="A34" s="31">
        <v>18</v>
      </c>
      <c r="B34" s="32" t="s">
        <v>19</v>
      </c>
      <c r="C34" s="51" t="s">
        <v>56</v>
      </c>
      <c r="D34" s="34" t="s">
        <v>16</v>
      </c>
      <c r="E34" s="35">
        <v>0</v>
      </c>
      <c r="F34" s="34"/>
      <c r="G34" s="26"/>
      <c r="H34" s="28"/>
    </row>
    <row r="35" spans="1:8" ht="12.75">
      <c r="A35" s="31">
        <v>19</v>
      </c>
      <c r="B35" s="52" t="s">
        <v>57</v>
      </c>
      <c r="C35" s="38">
        <v>0.2</v>
      </c>
      <c r="D35" s="34" t="s">
        <v>16</v>
      </c>
      <c r="E35" s="35">
        <v>6690.65</v>
      </c>
      <c r="F35" s="34"/>
      <c r="G35" s="26"/>
      <c r="H35" s="28"/>
    </row>
    <row r="36" spans="1:8" ht="12.75">
      <c r="A36" s="31">
        <v>20</v>
      </c>
      <c r="B36" s="32" t="s">
        <v>20</v>
      </c>
      <c r="C36" s="51" t="s">
        <v>56</v>
      </c>
      <c r="D36" s="34" t="s">
        <v>16</v>
      </c>
      <c r="E36" s="35">
        <v>0</v>
      </c>
      <c r="F36" s="34"/>
      <c r="G36" s="26"/>
      <c r="H36" s="28"/>
    </row>
    <row r="37" spans="1:8" ht="12.75">
      <c r="A37" s="31">
        <v>21</v>
      </c>
      <c r="B37" s="32" t="s">
        <v>21</v>
      </c>
      <c r="C37" s="51" t="s">
        <v>56</v>
      </c>
      <c r="D37" s="34" t="s">
        <v>18</v>
      </c>
      <c r="E37" s="35">
        <v>10394.36</v>
      </c>
      <c r="F37" s="34"/>
      <c r="G37" s="26"/>
      <c r="H37" s="28"/>
    </row>
    <row r="38" spans="1:8" ht="13.5" thickBot="1">
      <c r="A38" s="39"/>
      <c r="B38" s="40"/>
      <c r="C38" s="41"/>
      <c r="D38" s="42"/>
      <c r="E38" s="43">
        <v>1129368.42</v>
      </c>
      <c r="F38" s="42"/>
      <c r="G38" s="44"/>
      <c r="H38" s="45"/>
    </row>
    <row r="39" spans="1:8" ht="12.75">
      <c r="A39" s="46">
        <v>22</v>
      </c>
      <c r="B39" s="1"/>
      <c r="C39" s="1"/>
      <c r="D39" s="12"/>
      <c r="E39" s="47"/>
      <c r="F39" s="12"/>
      <c r="G39" s="12"/>
      <c r="H39" s="1"/>
    </row>
    <row r="40" spans="1:8" ht="12.75">
      <c r="A40" s="1"/>
      <c r="B40" s="1"/>
      <c r="C40" s="1"/>
      <c r="D40" s="12"/>
      <c r="E40" s="47"/>
      <c r="F40" s="12"/>
      <c r="G40" s="12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 t="s">
        <v>47</v>
      </c>
      <c r="B43" s="1"/>
      <c r="C43" s="1"/>
      <c r="D43" s="1"/>
      <c r="E43" s="2"/>
      <c r="F43" s="1"/>
      <c r="G43" s="1"/>
      <c r="H43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zoomScalePageLayoutView="0" workbookViewId="0" topLeftCell="F10">
      <selection activeCell="I35" sqref="I35"/>
    </sheetView>
  </sheetViews>
  <sheetFormatPr defaultColWidth="9.00390625" defaultRowHeight="12.75"/>
  <cols>
    <col min="1" max="1" width="3.25390625" style="241" customWidth="1"/>
    <col min="2" max="2" width="41.25390625" style="241" customWidth="1"/>
    <col min="3" max="3" width="29.25390625" style="192" customWidth="1"/>
    <col min="4" max="4" width="13.875" style="192" hidden="1" customWidth="1"/>
    <col min="5" max="5" width="17.625" style="241" hidden="1" customWidth="1"/>
    <col min="6" max="6" width="15.875" style="326" customWidth="1"/>
    <col min="7" max="7" width="15.75390625" style="351" customWidth="1"/>
    <col min="8" max="8" width="15.00390625" style="321" hidden="1" customWidth="1"/>
    <col min="9" max="9" width="15.75390625" style="351" customWidth="1"/>
    <col min="10" max="10" width="15.375" style="321" hidden="1" customWidth="1"/>
    <col min="11" max="11" width="5.625" style="243" hidden="1" customWidth="1"/>
    <col min="12" max="12" width="4.875" style="243" hidden="1" customWidth="1"/>
    <col min="13" max="13" width="12.75390625" style="241" hidden="1" customWidth="1"/>
    <col min="14" max="14" width="3.875" style="192" hidden="1" customWidth="1"/>
    <col min="15" max="15" width="3.25390625" style="192" hidden="1" customWidth="1"/>
    <col min="16" max="16" width="60.875" style="241" customWidth="1"/>
    <col min="17" max="17" width="24.00390625" style="241" hidden="1" customWidth="1"/>
    <col min="18" max="18" width="4.25390625" style="241" hidden="1" customWidth="1"/>
    <col min="19" max="19" width="14.25390625" style="192" hidden="1" customWidth="1"/>
    <col min="20" max="20" width="14.875" style="326" customWidth="1"/>
    <col min="21" max="21" width="17.25390625" style="369" customWidth="1"/>
    <col min="22" max="16384" width="9.125" style="241" customWidth="1"/>
  </cols>
  <sheetData>
    <row r="1" spans="1:21" s="250" customFormat="1" ht="18" customHeight="1">
      <c r="A1" s="248" t="s">
        <v>160</v>
      </c>
      <c r="B1" s="248"/>
      <c r="C1" s="249"/>
      <c r="D1" s="249"/>
      <c r="E1" s="329"/>
      <c r="F1" s="309"/>
      <c r="G1" s="348"/>
      <c r="H1" s="309"/>
      <c r="I1" s="329" t="s">
        <v>169</v>
      </c>
      <c r="J1" s="309"/>
      <c r="K1" s="249"/>
      <c r="L1" s="249"/>
      <c r="M1" s="248"/>
      <c r="N1" s="249"/>
      <c r="O1" s="249"/>
      <c r="P1" s="248"/>
      <c r="Q1" s="248"/>
      <c r="R1" s="248"/>
      <c r="S1" s="249"/>
      <c r="T1" s="309"/>
      <c r="U1" s="356"/>
    </row>
    <row r="2" spans="1:21" s="247" customFormat="1" ht="30" customHeight="1">
      <c r="A2" s="244"/>
      <c r="B2" s="245" t="s">
        <v>161</v>
      </c>
      <c r="C2" s="246"/>
      <c r="D2" s="246"/>
      <c r="E2" s="244"/>
      <c r="F2" s="310"/>
      <c r="G2" s="348"/>
      <c r="H2" s="310"/>
      <c r="I2" s="348"/>
      <c r="J2" s="310"/>
      <c r="K2" s="246"/>
      <c r="L2" s="246"/>
      <c r="M2" s="244"/>
      <c r="N2" s="246"/>
      <c r="O2" s="246"/>
      <c r="P2" s="244"/>
      <c r="Q2" s="244"/>
      <c r="R2" s="244"/>
      <c r="S2" s="246"/>
      <c r="T2" s="310"/>
      <c r="U2" s="357"/>
    </row>
    <row r="3" spans="1:21" s="216" customFormat="1" ht="18.75" customHeight="1">
      <c r="A3" s="215"/>
      <c r="B3" s="217"/>
      <c r="C3" s="193"/>
      <c r="D3" s="193"/>
      <c r="E3" s="215"/>
      <c r="F3" s="311"/>
      <c r="G3" s="348"/>
      <c r="H3" s="311"/>
      <c r="I3" s="348"/>
      <c r="J3" s="311"/>
      <c r="K3" s="193"/>
      <c r="L3" s="193"/>
      <c r="M3" s="215"/>
      <c r="N3" s="193"/>
      <c r="O3" s="193"/>
      <c r="P3" s="215"/>
      <c r="Q3" s="215"/>
      <c r="R3" s="215"/>
      <c r="S3" s="193"/>
      <c r="T3" s="311"/>
      <c r="U3" s="358"/>
    </row>
    <row r="4" spans="1:21" s="216" customFormat="1" ht="12.75">
      <c r="A4" s="215"/>
      <c r="B4" s="251" t="s">
        <v>150</v>
      </c>
      <c r="C4" s="252">
        <v>3032</v>
      </c>
      <c r="D4" s="215"/>
      <c r="E4" s="195"/>
      <c r="F4" s="311"/>
      <c r="G4" s="348"/>
      <c r="H4" s="311"/>
      <c r="I4" s="348"/>
      <c r="J4" s="311"/>
      <c r="K4" s="193"/>
      <c r="L4" s="193"/>
      <c r="M4" s="215"/>
      <c r="N4" s="193"/>
      <c r="O4" s="193"/>
      <c r="P4" s="215"/>
      <c r="Q4" s="215"/>
      <c r="R4" s="215"/>
      <c r="S4" s="193"/>
      <c r="T4" s="311"/>
      <c r="U4" s="358"/>
    </row>
    <row r="5" spans="1:21" s="221" customFormat="1" ht="12.75">
      <c r="A5" s="218"/>
      <c r="B5" s="253" t="s">
        <v>36</v>
      </c>
      <c r="C5" s="254">
        <v>55</v>
      </c>
      <c r="D5" s="220"/>
      <c r="E5" s="218"/>
      <c r="F5" s="312"/>
      <c r="G5" s="348"/>
      <c r="H5" s="312"/>
      <c r="I5" s="348"/>
      <c r="J5" s="312"/>
      <c r="K5" s="194"/>
      <c r="L5" s="194"/>
      <c r="M5" s="218"/>
      <c r="N5" s="194"/>
      <c r="O5" s="194"/>
      <c r="P5" s="218"/>
      <c r="Q5" s="218"/>
      <c r="R5" s="218"/>
      <c r="S5" s="194"/>
      <c r="T5" s="312"/>
      <c r="U5" s="359"/>
    </row>
    <row r="6" spans="1:21" s="221" customFormat="1" ht="10.5" customHeight="1" thickBot="1">
      <c r="A6" s="218"/>
      <c r="B6" s="218"/>
      <c r="C6" s="219"/>
      <c r="D6" s="220"/>
      <c r="E6" s="218"/>
      <c r="F6" s="312"/>
      <c r="G6" s="348"/>
      <c r="H6" s="312"/>
      <c r="I6" s="348"/>
      <c r="J6" s="312"/>
      <c r="K6" s="194"/>
      <c r="L6" s="194"/>
      <c r="M6" s="218"/>
      <c r="N6" s="194"/>
      <c r="O6" s="194"/>
      <c r="P6" s="218"/>
      <c r="Q6" s="218"/>
      <c r="R6" s="218"/>
      <c r="S6" s="194"/>
      <c r="T6" s="312"/>
      <c r="U6" s="359"/>
    </row>
    <row r="7" spans="1:21" s="457" customFormat="1" ht="50.25" customHeight="1">
      <c r="A7" s="469" t="s">
        <v>30</v>
      </c>
      <c r="B7" s="471" t="s">
        <v>1</v>
      </c>
      <c r="C7" s="473" t="s">
        <v>197</v>
      </c>
      <c r="D7" s="447" t="s">
        <v>2</v>
      </c>
      <c r="E7" s="448" t="s">
        <v>4</v>
      </c>
      <c r="F7" s="449" t="s">
        <v>193</v>
      </c>
      <c r="G7" s="450" t="s">
        <v>192</v>
      </c>
      <c r="H7" s="451" t="s">
        <v>155</v>
      </c>
      <c r="I7" s="449" t="s">
        <v>194</v>
      </c>
      <c r="J7" s="450" t="s">
        <v>173</v>
      </c>
      <c r="K7" s="452"/>
      <c r="L7" s="453"/>
      <c r="M7" s="454"/>
      <c r="N7" s="453"/>
      <c r="O7" s="455"/>
      <c r="P7" s="475" t="s">
        <v>195</v>
      </c>
      <c r="Q7" s="456" t="s">
        <v>61</v>
      </c>
      <c r="R7" s="456"/>
      <c r="S7" s="454" t="s">
        <v>62</v>
      </c>
      <c r="T7" s="462" t="s">
        <v>198</v>
      </c>
      <c r="U7" s="464" t="s">
        <v>196</v>
      </c>
    </row>
    <row r="8" spans="1:21" s="224" customFormat="1" ht="21" customHeight="1" thickBot="1">
      <c r="A8" s="470"/>
      <c r="B8" s="472"/>
      <c r="C8" s="474"/>
      <c r="D8" s="302" t="s">
        <v>3</v>
      </c>
      <c r="E8" s="394" t="s">
        <v>5</v>
      </c>
      <c r="F8" s="466" t="s">
        <v>151</v>
      </c>
      <c r="G8" s="467"/>
      <c r="H8" s="467"/>
      <c r="I8" s="468"/>
      <c r="J8" s="436" t="s">
        <v>151</v>
      </c>
      <c r="K8" s="210"/>
      <c r="L8" s="200"/>
      <c r="M8" s="211"/>
      <c r="N8" s="200"/>
      <c r="O8" s="227"/>
      <c r="P8" s="476"/>
      <c r="Q8" s="236" t="s">
        <v>65</v>
      </c>
      <c r="R8" s="236"/>
      <c r="S8" s="211" t="s">
        <v>66</v>
      </c>
      <c r="T8" s="463"/>
      <c r="U8" s="465"/>
    </row>
    <row r="9" spans="1:21" s="224" customFormat="1" ht="18" customHeight="1">
      <c r="A9" s="263">
        <v>1</v>
      </c>
      <c r="B9" s="196" t="s">
        <v>22</v>
      </c>
      <c r="C9" s="222"/>
      <c r="D9" s="305"/>
      <c r="E9" s="395"/>
      <c r="F9" s="381"/>
      <c r="G9" s="401"/>
      <c r="H9" s="459"/>
      <c r="I9" s="443"/>
      <c r="J9" s="315"/>
      <c r="K9" s="273"/>
      <c r="L9" s="274"/>
      <c r="M9" s="275"/>
      <c r="N9" s="274"/>
      <c r="O9" s="276"/>
      <c r="P9" s="203"/>
      <c r="Q9" s="204"/>
      <c r="R9" s="277"/>
      <c r="S9" s="353"/>
      <c r="T9" s="375"/>
      <c r="U9" s="361"/>
    </row>
    <row r="10" spans="1:21" s="224" customFormat="1" ht="18" customHeight="1" thickBot="1">
      <c r="A10" s="263"/>
      <c r="B10" s="225" t="s">
        <v>23</v>
      </c>
      <c r="C10" s="230" t="s">
        <v>174</v>
      </c>
      <c r="D10" s="306">
        <v>8.02</v>
      </c>
      <c r="E10" s="396" t="s">
        <v>92</v>
      </c>
      <c r="F10" s="390">
        <v>26525.755714285715</v>
      </c>
      <c r="G10" s="402">
        <v>185680.29</v>
      </c>
      <c r="H10" s="383">
        <v>18098.686</v>
      </c>
      <c r="I10" s="390">
        <v>175854.2</v>
      </c>
      <c r="J10" s="437">
        <f>G10-I10</f>
        <v>9826.089999999997</v>
      </c>
      <c r="K10" s="292"/>
      <c r="L10" s="293"/>
      <c r="M10" s="294"/>
      <c r="N10" s="293"/>
      <c r="O10" s="295"/>
      <c r="P10" s="257" t="s">
        <v>76</v>
      </c>
      <c r="Q10" s="258" t="s">
        <v>158</v>
      </c>
      <c r="R10" s="258"/>
      <c r="S10" s="295"/>
      <c r="T10" s="314">
        <v>196351.60500000004</v>
      </c>
      <c r="U10" s="362">
        <v>20497.405000000028</v>
      </c>
    </row>
    <row r="11" spans="1:21" s="224" customFormat="1" ht="18" customHeight="1">
      <c r="A11" s="264"/>
      <c r="B11" s="196" t="s">
        <v>156</v>
      </c>
      <c r="C11" s="336" t="s">
        <v>175</v>
      </c>
      <c r="D11" s="226"/>
      <c r="E11" s="384" t="s">
        <v>92</v>
      </c>
      <c r="F11" s="411">
        <v>4253.462857142857</v>
      </c>
      <c r="G11" s="403">
        <v>29774.24</v>
      </c>
      <c r="H11" s="417"/>
      <c r="I11" s="414">
        <v>28198.605009761668</v>
      </c>
      <c r="J11" s="315">
        <f>G11-I11</f>
        <v>1575.6349902383336</v>
      </c>
      <c r="K11" s="289"/>
      <c r="L11" s="289"/>
      <c r="M11" s="290"/>
      <c r="N11" s="289"/>
      <c r="O11" s="291"/>
      <c r="P11" s="255" t="s">
        <v>76</v>
      </c>
      <c r="Q11" s="256" t="s">
        <v>158</v>
      </c>
      <c r="R11" s="256"/>
      <c r="S11" s="291"/>
      <c r="T11" s="458">
        <v>29774.24</v>
      </c>
      <c r="U11" s="374">
        <v>1575.6349902383336</v>
      </c>
    </row>
    <row r="12" spans="1:21" s="224" customFormat="1" ht="18" customHeight="1">
      <c r="A12" s="264"/>
      <c r="B12" s="197" t="s">
        <v>157</v>
      </c>
      <c r="C12" s="199" t="s">
        <v>176</v>
      </c>
      <c r="D12" s="227"/>
      <c r="E12" s="394" t="s">
        <v>92</v>
      </c>
      <c r="F12" s="412">
        <v>10066.24</v>
      </c>
      <c r="G12" s="403">
        <v>70463.68</v>
      </c>
      <c r="H12" s="418">
        <v>6646.64</v>
      </c>
      <c r="I12" s="414">
        <v>66734.7841575215</v>
      </c>
      <c r="J12" s="316">
        <f>G12-I12</f>
        <v>3728.895842478494</v>
      </c>
      <c r="K12" s="283"/>
      <c r="L12" s="283"/>
      <c r="M12" s="284"/>
      <c r="N12" s="283"/>
      <c r="O12" s="298"/>
      <c r="P12" s="201" t="s">
        <v>167</v>
      </c>
      <c r="Q12" s="206" t="s">
        <v>171</v>
      </c>
      <c r="R12" s="206"/>
      <c r="S12" s="298"/>
      <c r="T12" s="382">
        <v>71197.99500000001</v>
      </c>
      <c r="U12" s="372">
        <v>14400.210842478511</v>
      </c>
    </row>
    <row r="13" spans="1:21" s="224" customFormat="1" ht="18" customHeight="1">
      <c r="A13" s="265"/>
      <c r="B13" s="225"/>
      <c r="C13" s="228"/>
      <c r="D13" s="207"/>
      <c r="E13" s="396"/>
      <c r="F13" s="412"/>
      <c r="G13" s="404"/>
      <c r="H13" s="460"/>
      <c r="I13" s="412"/>
      <c r="J13" s="316"/>
      <c r="K13" s="279"/>
      <c r="L13" s="279"/>
      <c r="M13" s="280"/>
      <c r="N13" s="279"/>
      <c r="O13" s="272"/>
      <c r="P13" s="205" t="s">
        <v>199</v>
      </c>
      <c r="Q13" s="206" t="s">
        <v>171</v>
      </c>
      <c r="R13" s="206"/>
      <c r="S13" s="298"/>
      <c r="T13" s="382">
        <v>9937</v>
      </c>
      <c r="U13" s="461"/>
    </row>
    <row r="14" spans="1:21" s="224" customFormat="1" ht="18" customHeight="1" thickBot="1">
      <c r="A14" s="265"/>
      <c r="B14" s="225" t="s">
        <v>172</v>
      </c>
      <c r="C14" s="228" t="s">
        <v>177</v>
      </c>
      <c r="D14" s="207"/>
      <c r="E14" s="396" t="s">
        <v>92</v>
      </c>
      <c r="F14" s="412">
        <v>3608.08</v>
      </c>
      <c r="G14" s="404">
        <v>25256.56</v>
      </c>
      <c r="H14" s="419"/>
      <c r="I14" s="412">
        <v>23919.997935979096</v>
      </c>
      <c r="J14" s="316">
        <f>G14-I14</f>
        <v>1336.5620640209054</v>
      </c>
      <c r="K14" s="279"/>
      <c r="L14" s="279"/>
      <c r="M14" s="280"/>
      <c r="N14" s="279"/>
      <c r="O14" s="272"/>
      <c r="P14" s="257" t="s">
        <v>76</v>
      </c>
      <c r="Q14" s="258" t="s">
        <v>158</v>
      </c>
      <c r="R14" s="202"/>
      <c r="S14" s="272"/>
      <c r="T14" s="314">
        <v>25256.56</v>
      </c>
      <c r="U14" s="362">
        <v>1336.5620640209054</v>
      </c>
    </row>
    <row r="15" spans="1:21" s="224" customFormat="1" ht="18" customHeight="1" thickBot="1">
      <c r="A15" s="266">
        <v>2</v>
      </c>
      <c r="B15" s="269" t="s">
        <v>191</v>
      </c>
      <c r="C15" s="268" t="s">
        <v>178</v>
      </c>
      <c r="D15" s="234"/>
      <c r="E15" s="397" t="s">
        <v>92</v>
      </c>
      <c r="F15" s="413">
        <v>2377.57</v>
      </c>
      <c r="G15" s="405">
        <v>16642.99</v>
      </c>
      <c r="H15" s="420"/>
      <c r="I15" s="413">
        <v>15834.79</v>
      </c>
      <c r="J15" s="438">
        <f>G15-I15</f>
        <v>808.2000000000007</v>
      </c>
      <c r="K15" s="285"/>
      <c r="L15" s="285"/>
      <c r="M15" s="286"/>
      <c r="N15" s="285"/>
      <c r="O15" s="300"/>
      <c r="P15" s="301" t="s">
        <v>76</v>
      </c>
      <c r="Q15" s="287" t="s">
        <v>158</v>
      </c>
      <c r="R15" s="287"/>
      <c r="S15" s="300"/>
      <c r="T15" s="373">
        <v>16642.99</v>
      </c>
      <c r="U15" s="370">
        <v>808.2000000000007</v>
      </c>
    </row>
    <row r="16" spans="1:21" s="224" customFormat="1" ht="18" customHeight="1">
      <c r="A16" s="263">
        <v>3</v>
      </c>
      <c r="B16" s="259" t="s">
        <v>24</v>
      </c>
      <c r="C16" s="260"/>
      <c r="D16" s="307"/>
      <c r="E16" s="386"/>
      <c r="F16" s="354"/>
      <c r="G16" s="391"/>
      <c r="H16" s="421"/>
      <c r="I16" s="354"/>
      <c r="J16" s="340"/>
      <c r="K16" s="288"/>
      <c r="L16" s="289"/>
      <c r="M16" s="290"/>
      <c r="N16" s="289"/>
      <c r="O16" s="291"/>
      <c r="P16" s="255"/>
      <c r="Q16" s="256"/>
      <c r="R16" s="256"/>
      <c r="S16" s="291"/>
      <c r="T16" s="354"/>
      <c r="U16" s="363"/>
    </row>
    <row r="17" spans="1:21" s="224" customFormat="1" ht="18" customHeight="1" thickBot="1">
      <c r="A17" s="271"/>
      <c r="B17" s="198" t="s">
        <v>25</v>
      </c>
      <c r="C17" s="337" t="s">
        <v>179</v>
      </c>
      <c r="D17" s="304">
        <v>4.96</v>
      </c>
      <c r="E17" s="385" t="s">
        <v>92</v>
      </c>
      <c r="F17" s="390">
        <v>14910.74</v>
      </c>
      <c r="G17" s="402">
        <v>104375.18</v>
      </c>
      <c r="H17" s="422">
        <v>10173.716</v>
      </c>
      <c r="I17" s="390">
        <v>99695.69</v>
      </c>
      <c r="J17" s="437">
        <f>G17-I17</f>
        <v>4679.489999999991</v>
      </c>
      <c r="K17" s="292"/>
      <c r="L17" s="293"/>
      <c r="M17" s="294"/>
      <c r="N17" s="293"/>
      <c r="O17" s="295"/>
      <c r="P17" s="257" t="s">
        <v>76</v>
      </c>
      <c r="Q17" s="258" t="s">
        <v>158</v>
      </c>
      <c r="R17" s="296"/>
      <c r="S17" s="295"/>
      <c r="T17" s="314">
        <v>104375.18</v>
      </c>
      <c r="U17" s="362">
        <v>4679.489999999991</v>
      </c>
    </row>
    <row r="18" spans="1:21" s="224" customFormat="1" ht="18" customHeight="1">
      <c r="A18" s="263">
        <v>4</v>
      </c>
      <c r="B18" s="197" t="s">
        <v>152</v>
      </c>
      <c r="C18" s="199" t="s">
        <v>180</v>
      </c>
      <c r="D18" s="303">
        <v>1.29</v>
      </c>
      <c r="E18" s="394" t="s">
        <v>92</v>
      </c>
      <c r="F18" s="411">
        <v>3786.39</v>
      </c>
      <c r="G18" s="393">
        <v>26504.73</v>
      </c>
      <c r="H18" s="383">
        <v>2583.483</v>
      </c>
      <c r="I18" s="444">
        <v>25322.22</v>
      </c>
      <c r="J18" s="315">
        <f>G18-I18</f>
        <v>1182.5099999999984</v>
      </c>
      <c r="K18" s="297"/>
      <c r="L18" s="283"/>
      <c r="M18" s="284"/>
      <c r="N18" s="283"/>
      <c r="O18" s="298"/>
      <c r="P18" s="255" t="s">
        <v>76</v>
      </c>
      <c r="Q18" s="256" t="s">
        <v>158</v>
      </c>
      <c r="R18" s="206"/>
      <c r="S18" s="298"/>
      <c r="T18" s="375">
        <v>26504.73</v>
      </c>
      <c r="U18" s="371">
        <v>1182.51</v>
      </c>
    </row>
    <row r="19" spans="1:21" s="224" customFormat="1" ht="18" customHeight="1">
      <c r="A19" s="264">
        <v>5</v>
      </c>
      <c r="B19" s="197" t="s">
        <v>79</v>
      </c>
      <c r="C19" s="199" t="s">
        <v>181</v>
      </c>
      <c r="D19" s="303">
        <v>1.93</v>
      </c>
      <c r="E19" s="394" t="s">
        <v>92</v>
      </c>
      <c r="F19" s="412">
        <v>9493.897142857142</v>
      </c>
      <c r="G19" s="403">
        <v>66457.28</v>
      </c>
      <c r="H19" s="423"/>
      <c r="I19" s="414">
        <v>61685.04</v>
      </c>
      <c r="J19" s="316">
        <f>G19-I19</f>
        <v>4772.239999999998</v>
      </c>
      <c r="K19" s="297"/>
      <c r="L19" s="283"/>
      <c r="M19" s="284"/>
      <c r="N19" s="283"/>
      <c r="O19" s="298"/>
      <c r="P19" s="205" t="s">
        <v>101</v>
      </c>
      <c r="Q19" s="206"/>
      <c r="R19" s="206"/>
      <c r="S19" s="298">
        <v>7964.12</v>
      </c>
      <c r="T19" s="377">
        <v>66457.28</v>
      </c>
      <c r="U19" s="372">
        <v>4772.24</v>
      </c>
    </row>
    <row r="20" spans="1:21" s="224" customFormat="1" ht="18" customHeight="1">
      <c r="A20" s="264"/>
      <c r="B20" s="197"/>
      <c r="C20" s="199"/>
      <c r="D20" s="303"/>
      <c r="E20" s="394"/>
      <c r="F20" s="414"/>
      <c r="G20" s="403"/>
      <c r="H20" s="423"/>
      <c r="I20" s="414"/>
      <c r="J20" s="439"/>
      <c r="K20" s="297"/>
      <c r="L20" s="283"/>
      <c r="M20" s="284"/>
      <c r="N20" s="283"/>
      <c r="O20" s="298"/>
      <c r="P20" s="205"/>
      <c r="Q20" s="206"/>
      <c r="R20" s="206"/>
      <c r="S20" s="298"/>
      <c r="T20" s="378"/>
      <c r="U20" s="374"/>
    </row>
    <row r="21" spans="1:21" s="224" customFormat="1" ht="18" customHeight="1">
      <c r="A21" s="264">
        <v>6</v>
      </c>
      <c r="B21" s="197" t="s">
        <v>80</v>
      </c>
      <c r="C21" s="199" t="s">
        <v>182</v>
      </c>
      <c r="D21" s="303">
        <v>0.46</v>
      </c>
      <c r="E21" s="394" t="s">
        <v>92</v>
      </c>
      <c r="F21" s="412">
        <v>1419.8971428571429</v>
      </c>
      <c r="G21" s="403">
        <v>9939.28</v>
      </c>
      <c r="H21" s="423"/>
      <c r="I21" s="414">
        <v>8978.53</v>
      </c>
      <c r="J21" s="316">
        <f>G21-I21</f>
        <v>960.75</v>
      </c>
      <c r="K21" s="297"/>
      <c r="L21" s="283"/>
      <c r="M21" s="284"/>
      <c r="N21" s="283"/>
      <c r="O21" s="298"/>
      <c r="P21" s="205" t="s">
        <v>154</v>
      </c>
      <c r="Q21" s="206" t="s">
        <v>170</v>
      </c>
      <c r="R21" s="206"/>
      <c r="S21" s="298"/>
      <c r="T21" s="379">
        <v>9939.28</v>
      </c>
      <c r="U21" s="372">
        <v>960.75</v>
      </c>
    </row>
    <row r="22" spans="1:21" s="224" customFormat="1" ht="18" customHeight="1">
      <c r="A22" s="264">
        <v>7</v>
      </c>
      <c r="B22" s="225" t="s">
        <v>164</v>
      </c>
      <c r="C22" s="228" t="s">
        <v>183</v>
      </c>
      <c r="D22" s="306"/>
      <c r="E22" s="394" t="s">
        <v>92</v>
      </c>
      <c r="F22" s="412">
        <v>1543.0657142857142</v>
      </c>
      <c r="G22" s="403">
        <v>10801.46</v>
      </c>
      <c r="H22" s="423"/>
      <c r="I22" s="414">
        <v>10203.26</v>
      </c>
      <c r="J22" s="316">
        <f>G22-I22</f>
        <v>598.1999999999989</v>
      </c>
      <c r="K22" s="278"/>
      <c r="L22" s="279"/>
      <c r="M22" s="280"/>
      <c r="N22" s="279"/>
      <c r="O22" s="272"/>
      <c r="P22" s="201" t="s">
        <v>165</v>
      </c>
      <c r="Q22" s="206" t="s">
        <v>166</v>
      </c>
      <c r="R22" s="202"/>
      <c r="S22" s="272"/>
      <c r="T22" s="377">
        <v>10896</v>
      </c>
      <c r="U22" s="372">
        <v>692.74</v>
      </c>
    </row>
    <row r="23" spans="1:21" s="224" customFormat="1" ht="18" customHeight="1">
      <c r="A23" s="264">
        <v>8</v>
      </c>
      <c r="B23" s="225" t="s">
        <v>81</v>
      </c>
      <c r="C23" s="229" t="s">
        <v>188</v>
      </c>
      <c r="D23" s="306">
        <v>1.18</v>
      </c>
      <c r="E23" s="396" t="s">
        <v>92</v>
      </c>
      <c r="F23" s="412">
        <v>3463.5</v>
      </c>
      <c r="G23" s="403">
        <v>24244.5</v>
      </c>
      <c r="H23" s="383">
        <v>2363.186</v>
      </c>
      <c r="I23" s="414">
        <v>23130.08</v>
      </c>
      <c r="J23" s="316">
        <f>G23-I23</f>
        <v>1114.4199999999983</v>
      </c>
      <c r="K23" s="278"/>
      <c r="L23" s="279"/>
      <c r="M23" s="280"/>
      <c r="N23" s="279"/>
      <c r="O23" s="272"/>
      <c r="P23" s="201" t="s">
        <v>76</v>
      </c>
      <c r="Q23" s="206" t="s">
        <v>158</v>
      </c>
      <c r="R23" s="202"/>
      <c r="S23" s="272">
        <v>1420</v>
      </c>
      <c r="T23" s="377">
        <v>24244.5</v>
      </c>
      <c r="U23" s="372">
        <v>1114.42</v>
      </c>
    </row>
    <row r="24" spans="1:21" s="224" customFormat="1" ht="18" customHeight="1">
      <c r="A24" s="264"/>
      <c r="B24" s="209" t="s">
        <v>159</v>
      </c>
      <c r="C24" s="230"/>
      <c r="D24" s="306"/>
      <c r="E24" s="396"/>
      <c r="F24" s="414"/>
      <c r="G24" s="403"/>
      <c r="H24" s="424"/>
      <c r="I24" s="414"/>
      <c r="J24" s="439"/>
      <c r="K24" s="278"/>
      <c r="L24" s="279"/>
      <c r="M24" s="280"/>
      <c r="N24" s="279"/>
      <c r="O24" s="272"/>
      <c r="P24" s="201"/>
      <c r="Q24" s="202"/>
      <c r="R24" s="202"/>
      <c r="S24" s="272"/>
      <c r="T24" s="379"/>
      <c r="U24" s="372"/>
    </row>
    <row r="25" spans="1:21" s="224" customFormat="1" ht="18" customHeight="1" thickBot="1">
      <c r="A25" s="265"/>
      <c r="B25" s="209" t="s">
        <v>162</v>
      </c>
      <c r="C25" s="230"/>
      <c r="D25" s="306"/>
      <c r="E25" s="396"/>
      <c r="F25" s="412"/>
      <c r="G25" s="402"/>
      <c r="H25" s="425"/>
      <c r="I25" s="412"/>
      <c r="J25" s="316"/>
      <c r="K25" s="278"/>
      <c r="L25" s="279"/>
      <c r="M25" s="280"/>
      <c r="N25" s="279"/>
      <c r="O25" s="272"/>
      <c r="P25" s="201"/>
      <c r="Q25" s="202"/>
      <c r="R25" s="202"/>
      <c r="S25" s="272"/>
      <c r="T25" s="380"/>
      <c r="U25" s="362"/>
    </row>
    <row r="26" spans="1:21" s="224" customFormat="1" ht="18" customHeight="1" thickBot="1">
      <c r="A26" s="266"/>
      <c r="B26" s="330" t="s">
        <v>147</v>
      </c>
      <c r="C26" s="331"/>
      <c r="D26" s="332"/>
      <c r="E26" s="397"/>
      <c r="F26" s="415">
        <f>SUM(F15:F24)+F10</f>
        <v>63520.81571428571</v>
      </c>
      <c r="G26" s="406">
        <f>SUM(G15:G24)+G10</f>
        <v>444645.70999999996</v>
      </c>
      <c r="H26" s="426">
        <f>SUM(H15:H24)+H10</f>
        <v>33219.071</v>
      </c>
      <c r="I26" s="445">
        <f>SUM(I15:I24)+I10</f>
        <v>420703.81000000006</v>
      </c>
      <c r="J26" s="355">
        <f>SUM(J15:J24)+J10</f>
        <v>23941.89999999998</v>
      </c>
      <c r="K26" s="333"/>
      <c r="L26" s="334"/>
      <c r="M26" s="286"/>
      <c r="N26" s="334"/>
      <c r="O26" s="335"/>
      <c r="P26" s="301"/>
      <c r="Q26" s="287"/>
      <c r="R26" s="287"/>
      <c r="S26" s="300"/>
      <c r="T26" s="352">
        <f>SUM(T15:T24)+T10</f>
        <v>455411.56500000006</v>
      </c>
      <c r="U26" s="352">
        <f>SUM(U15:U24)+U10</f>
        <v>34707.75500000002</v>
      </c>
    </row>
    <row r="27" spans="1:22" s="224" customFormat="1" ht="18" customHeight="1">
      <c r="A27" s="270">
        <v>9</v>
      </c>
      <c r="B27" s="196" t="s">
        <v>84</v>
      </c>
      <c r="C27" s="338" t="s">
        <v>186</v>
      </c>
      <c r="D27" s="339" t="s">
        <v>119</v>
      </c>
      <c r="E27" s="384" t="s">
        <v>122</v>
      </c>
      <c r="F27" s="389">
        <v>10456.577142857142</v>
      </c>
      <c r="G27" s="387">
        <v>73196.04</v>
      </c>
      <c r="H27" s="427">
        <v>11065</v>
      </c>
      <c r="I27" s="354">
        <v>65926.42</v>
      </c>
      <c r="J27" s="376">
        <f>G27-I27</f>
        <v>7269.619999999995</v>
      </c>
      <c r="K27" s="341"/>
      <c r="L27" s="281"/>
      <c r="M27" s="282"/>
      <c r="N27" s="281"/>
      <c r="O27" s="328"/>
      <c r="P27" s="203" t="s">
        <v>102</v>
      </c>
      <c r="Q27" s="204"/>
      <c r="R27" s="204"/>
      <c r="S27" s="328"/>
      <c r="T27" s="446">
        <v>73196.04</v>
      </c>
      <c r="U27" s="371">
        <v>7269.62</v>
      </c>
      <c r="V27" s="231"/>
    </row>
    <row r="28" spans="1:21" s="224" customFormat="1" ht="18" customHeight="1" thickBot="1">
      <c r="A28" s="271"/>
      <c r="B28" s="198" t="s">
        <v>168</v>
      </c>
      <c r="C28" s="337" t="s">
        <v>189</v>
      </c>
      <c r="D28" s="304">
        <v>13.15</v>
      </c>
      <c r="E28" s="385" t="s">
        <v>88</v>
      </c>
      <c r="F28" s="390">
        <v>18303.46285714286</v>
      </c>
      <c r="G28" s="388">
        <v>128124.24</v>
      </c>
      <c r="H28" s="428"/>
      <c r="I28" s="380">
        <v>114416.24</v>
      </c>
      <c r="J28" s="437">
        <f>G28-I28</f>
        <v>13708</v>
      </c>
      <c r="K28" s="292"/>
      <c r="L28" s="293"/>
      <c r="M28" s="294"/>
      <c r="N28" s="293"/>
      <c r="O28" s="295"/>
      <c r="P28" s="257" t="s">
        <v>102</v>
      </c>
      <c r="Q28" s="258"/>
      <c r="R28" s="258"/>
      <c r="S28" s="295"/>
      <c r="T28" s="314">
        <v>128124.24</v>
      </c>
      <c r="U28" s="362">
        <v>13708</v>
      </c>
    </row>
    <row r="29" spans="1:21" s="224" customFormat="1" ht="18" customHeight="1">
      <c r="A29" s="270">
        <v>10</v>
      </c>
      <c r="B29" s="196" t="s">
        <v>87</v>
      </c>
      <c r="C29" s="338" t="s">
        <v>190</v>
      </c>
      <c r="D29" s="339" t="s">
        <v>121</v>
      </c>
      <c r="E29" s="384" t="s">
        <v>122</v>
      </c>
      <c r="F29" s="389">
        <v>31770.63714285714</v>
      </c>
      <c r="G29" s="391">
        <v>222394.46</v>
      </c>
      <c r="H29" s="429"/>
      <c r="I29" s="354">
        <v>198447.31</v>
      </c>
      <c r="J29" s="376">
        <f>G29-I29</f>
        <v>23947.149999999994</v>
      </c>
      <c r="K29" s="341"/>
      <c r="L29" s="281"/>
      <c r="M29" s="282"/>
      <c r="N29" s="281"/>
      <c r="O29" s="328"/>
      <c r="P29" s="345" t="s">
        <v>200</v>
      </c>
      <c r="Q29" s="346"/>
      <c r="R29" s="204"/>
      <c r="S29" s="328"/>
      <c r="T29" s="375">
        <v>222394.46</v>
      </c>
      <c r="U29" s="365">
        <v>23947.15</v>
      </c>
    </row>
    <row r="30" spans="1:21" s="224" customFormat="1" ht="18" customHeight="1" thickBot="1">
      <c r="A30" s="271"/>
      <c r="B30" s="198" t="s">
        <v>13</v>
      </c>
      <c r="C30" s="337" t="s">
        <v>184</v>
      </c>
      <c r="D30" s="304">
        <v>16.85</v>
      </c>
      <c r="E30" s="385" t="s">
        <v>92</v>
      </c>
      <c r="F30" s="390">
        <v>65322.19571428571</v>
      </c>
      <c r="G30" s="392">
        <v>457255.37</v>
      </c>
      <c r="H30" s="422">
        <v>73375</v>
      </c>
      <c r="I30" s="380">
        <v>422685.96</v>
      </c>
      <c r="J30" s="437">
        <f>G30-I30</f>
        <v>34569.409999999974</v>
      </c>
      <c r="K30" s="292"/>
      <c r="L30" s="293"/>
      <c r="M30" s="294"/>
      <c r="N30" s="293"/>
      <c r="O30" s="295"/>
      <c r="P30" s="347" t="s">
        <v>200</v>
      </c>
      <c r="Q30" s="258"/>
      <c r="R30" s="258"/>
      <c r="S30" s="295"/>
      <c r="T30" s="314">
        <v>457255.37</v>
      </c>
      <c r="U30" s="364">
        <v>34569.41</v>
      </c>
    </row>
    <row r="31" spans="1:21" s="224" customFormat="1" ht="18" customHeight="1">
      <c r="A31" s="263">
        <v>11</v>
      </c>
      <c r="B31" s="259" t="s">
        <v>83</v>
      </c>
      <c r="C31" s="342" t="s">
        <v>185</v>
      </c>
      <c r="D31" s="343" t="s">
        <v>148</v>
      </c>
      <c r="E31" s="386" t="s">
        <v>92</v>
      </c>
      <c r="F31" s="389">
        <v>3610.7014285714286</v>
      </c>
      <c r="G31" s="393">
        <v>25274.91</v>
      </c>
      <c r="H31" s="430">
        <v>977</v>
      </c>
      <c r="I31" s="444">
        <v>22684.66</v>
      </c>
      <c r="J31" s="315">
        <f>G31-I31</f>
        <v>2590.25</v>
      </c>
      <c r="K31" s="288"/>
      <c r="L31" s="289"/>
      <c r="M31" s="290"/>
      <c r="N31" s="289"/>
      <c r="O31" s="291"/>
      <c r="P31" s="255" t="s">
        <v>149</v>
      </c>
      <c r="Q31" s="344" t="s">
        <v>153</v>
      </c>
      <c r="R31" s="344"/>
      <c r="S31" s="291"/>
      <c r="T31" s="375">
        <v>25274.91</v>
      </c>
      <c r="U31" s="371">
        <v>2590.25</v>
      </c>
    </row>
    <row r="32" spans="1:21" s="224" customFormat="1" ht="18" customHeight="1" thickBot="1">
      <c r="A32" s="264"/>
      <c r="B32" s="198"/>
      <c r="C32" s="208"/>
      <c r="D32" s="304"/>
      <c r="E32" s="385"/>
      <c r="F32" s="349"/>
      <c r="G32" s="322"/>
      <c r="H32" s="431"/>
      <c r="I32" s="349"/>
      <c r="J32" s="437"/>
      <c r="K32" s="292"/>
      <c r="L32" s="293"/>
      <c r="M32" s="294"/>
      <c r="N32" s="293"/>
      <c r="O32" s="295"/>
      <c r="P32" s="257"/>
      <c r="Q32" s="258"/>
      <c r="R32" s="258"/>
      <c r="S32" s="295"/>
      <c r="T32" s="314"/>
      <c r="U32" s="362"/>
    </row>
    <row r="33" spans="1:21" s="224" customFormat="1" ht="18" customHeight="1" hidden="1">
      <c r="A33" s="264"/>
      <c r="B33" s="259"/>
      <c r="C33" s="261"/>
      <c r="D33" s="261"/>
      <c r="E33" s="398"/>
      <c r="F33" s="416"/>
      <c r="G33" s="407"/>
      <c r="H33" s="432"/>
      <c r="I33" s="416"/>
      <c r="J33" s="440"/>
      <c r="K33" s="288"/>
      <c r="L33" s="289"/>
      <c r="M33" s="290"/>
      <c r="N33" s="289"/>
      <c r="O33" s="291"/>
      <c r="P33" s="255"/>
      <c r="Q33" s="256"/>
      <c r="R33" s="256"/>
      <c r="S33" s="289"/>
      <c r="T33" s="319"/>
      <c r="U33" s="365"/>
    </row>
    <row r="34" spans="1:21" s="224" customFormat="1" ht="18" customHeight="1" hidden="1" thickBot="1">
      <c r="A34" s="264"/>
      <c r="B34" s="197"/>
      <c r="C34" s="210"/>
      <c r="D34" s="210"/>
      <c r="E34" s="399"/>
      <c r="F34" s="313"/>
      <c r="G34" s="408"/>
      <c r="H34" s="433"/>
      <c r="I34" s="313"/>
      <c r="J34" s="439"/>
      <c r="K34" s="297"/>
      <c r="L34" s="283"/>
      <c r="M34" s="284"/>
      <c r="N34" s="283"/>
      <c r="O34" s="298"/>
      <c r="P34" s="205"/>
      <c r="Q34" s="206"/>
      <c r="R34" s="206"/>
      <c r="S34" s="283"/>
      <c r="T34" s="317"/>
      <c r="U34" s="360"/>
    </row>
    <row r="35" spans="1:21" s="224" customFormat="1" ht="18" customHeight="1" thickBot="1">
      <c r="A35" s="264"/>
      <c r="B35" s="212" t="s">
        <v>77</v>
      </c>
      <c r="C35" s="232"/>
      <c r="D35" s="232" t="s">
        <v>93</v>
      </c>
      <c r="E35" s="308"/>
      <c r="F35" s="324"/>
      <c r="G35" s="409">
        <f>SUM(G26:G34)</f>
        <v>1350890.7299999997</v>
      </c>
      <c r="H35" s="434">
        <f>SUM(H26:H34)</f>
        <v>118636.071</v>
      </c>
      <c r="I35" s="324">
        <f>SUM(I26:I34)</f>
        <v>1244864.4</v>
      </c>
      <c r="J35" s="441">
        <f>SUM(J26:J34)</f>
        <v>106026.32999999994</v>
      </c>
      <c r="K35" s="299"/>
      <c r="L35" s="285"/>
      <c r="M35" s="286" t="e">
        <f>M26+M27+M29+M30+#REF!</f>
        <v>#REF!</v>
      </c>
      <c r="N35" s="285"/>
      <c r="O35" s="300"/>
      <c r="P35" s="301"/>
      <c r="Q35" s="287"/>
      <c r="R35" s="287"/>
      <c r="S35" s="300"/>
      <c r="T35" s="324">
        <f>SUM(T26:T34)</f>
        <v>1361656.585</v>
      </c>
      <c r="U35" s="324">
        <f>SUM(U26:U34)</f>
        <v>116792.18500000003</v>
      </c>
    </row>
    <row r="36" spans="1:21" s="224" customFormat="1" ht="13.5" thickBot="1">
      <c r="A36" s="267"/>
      <c r="B36" s="212"/>
      <c r="C36" s="232"/>
      <c r="D36" s="232"/>
      <c r="E36" s="400"/>
      <c r="F36" s="373"/>
      <c r="G36" s="410"/>
      <c r="H36" s="435"/>
      <c r="I36" s="324"/>
      <c r="J36" s="442"/>
      <c r="K36" s="213"/>
      <c r="L36" s="213"/>
      <c r="M36" s="233"/>
      <c r="N36" s="213"/>
      <c r="O36" s="234"/>
      <c r="P36" s="235"/>
      <c r="Q36" s="233"/>
      <c r="R36" s="233"/>
      <c r="S36" s="213"/>
      <c r="T36" s="327"/>
      <c r="U36" s="366"/>
    </row>
    <row r="37" spans="1:21" s="224" customFormat="1" ht="36" customHeight="1">
      <c r="A37" s="262" t="s">
        <v>163</v>
      </c>
      <c r="B37" s="223"/>
      <c r="C37" s="237"/>
      <c r="D37" s="237"/>
      <c r="E37" s="214"/>
      <c r="F37" s="214" t="s">
        <v>187</v>
      </c>
      <c r="G37" s="323"/>
      <c r="H37" s="318"/>
      <c r="I37" s="323"/>
      <c r="J37" s="318"/>
      <c r="K37" s="237"/>
      <c r="L37" s="237"/>
      <c r="M37" s="223"/>
      <c r="N37" s="237"/>
      <c r="O37" s="237"/>
      <c r="P37" s="223"/>
      <c r="Q37" s="214" t="s">
        <v>78</v>
      </c>
      <c r="R37" s="223"/>
      <c r="S37" s="237"/>
      <c r="T37" s="323"/>
      <c r="U37" s="367"/>
    </row>
    <row r="38" spans="1:21" s="221" customFormat="1" ht="12.75">
      <c r="A38" s="238"/>
      <c r="B38" s="239"/>
      <c r="C38" s="240"/>
      <c r="D38" s="240"/>
      <c r="E38" s="191"/>
      <c r="F38" s="325"/>
      <c r="G38" s="350"/>
      <c r="H38" s="320"/>
      <c r="I38" s="350"/>
      <c r="J38" s="320"/>
      <c r="K38" s="240"/>
      <c r="L38" s="240"/>
      <c r="M38" s="239"/>
      <c r="N38" s="240"/>
      <c r="O38" s="240"/>
      <c r="P38" s="239"/>
      <c r="Q38" s="191"/>
      <c r="R38" s="239"/>
      <c r="S38" s="240"/>
      <c r="T38" s="325"/>
      <c r="U38" s="368"/>
    </row>
    <row r="39" spans="1:21" s="221" customFormat="1" ht="12.75">
      <c r="A39" s="238"/>
      <c r="B39" s="239"/>
      <c r="C39" s="240"/>
      <c r="D39" s="240"/>
      <c r="E39" s="191"/>
      <c r="F39" s="325"/>
      <c r="G39" s="350"/>
      <c r="H39" s="320"/>
      <c r="I39" s="350"/>
      <c r="J39" s="320"/>
      <c r="K39" s="240"/>
      <c r="L39" s="240"/>
      <c r="M39" s="239"/>
      <c r="N39" s="240"/>
      <c r="O39" s="240"/>
      <c r="P39" s="239"/>
      <c r="Q39" s="191"/>
      <c r="R39" s="239"/>
      <c r="S39" s="240"/>
      <c r="T39" s="325"/>
      <c r="U39" s="368"/>
    </row>
    <row r="40" ht="12.75">
      <c r="B40" s="242"/>
    </row>
    <row r="41" ht="12.75">
      <c r="B41" s="242"/>
    </row>
  </sheetData>
  <sheetProtection/>
  <mergeCells count="7">
    <mergeCell ref="T7:T8"/>
    <mergeCell ref="U7:U8"/>
    <mergeCell ref="F8:I8"/>
    <mergeCell ref="A7:A8"/>
    <mergeCell ref="B7:B8"/>
    <mergeCell ref="C7:C8"/>
    <mergeCell ref="P7:P8"/>
  </mergeCells>
  <printOptions/>
  <pageMargins left="0.1968503937007874" right="0.1968503937007874" top="0" bottom="0" header="0.11811023622047245" footer="0.1968503937007874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1"/>
  <sheetViews>
    <sheetView zoomScale="125" zoomScaleNormal="125" zoomScalePageLayoutView="0" workbookViewId="0" topLeftCell="C1">
      <selection activeCell="R13" sqref="R13:S13"/>
    </sheetView>
  </sheetViews>
  <sheetFormatPr defaultColWidth="9.00390625" defaultRowHeight="12.75"/>
  <cols>
    <col min="1" max="1" width="3.25390625" style="0" customWidth="1"/>
    <col min="2" max="2" width="26.625" style="0" customWidth="1"/>
    <col min="3" max="4" width="10.625" style="53" customWidth="1"/>
    <col min="5" max="5" width="8.875" style="0" customWidth="1"/>
    <col min="6" max="6" width="11.875" style="53" customWidth="1"/>
    <col min="7" max="7" width="12.125" style="53" customWidth="1"/>
    <col min="8" max="8" width="1.00390625" style="55" customWidth="1"/>
    <col min="9" max="9" width="1.25" style="55" customWidth="1"/>
    <col min="10" max="11" width="1.00390625" style="55" customWidth="1"/>
    <col min="12" max="12" width="12.75390625" style="0" customWidth="1"/>
    <col min="13" max="13" width="1.12109375" style="53" customWidth="1"/>
    <col min="14" max="14" width="0.74609375" style="53" customWidth="1"/>
    <col min="15" max="15" width="16.875" style="0" customWidth="1"/>
    <col min="16" max="16" width="10.875" style="0" customWidth="1"/>
    <col min="17" max="17" width="9.75390625" style="53" customWidth="1"/>
    <col min="18" max="18" width="11.25390625" style="53" customWidth="1"/>
    <col min="19" max="19" width="11.25390625" style="0" bestFit="1" customWidth="1"/>
  </cols>
  <sheetData>
    <row r="1" spans="1:19" s="58" customFormat="1" ht="18" customHeight="1">
      <c r="A1" s="56" t="s">
        <v>145</v>
      </c>
      <c r="B1" s="56"/>
      <c r="C1" s="54"/>
      <c r="D1" s="54"/>
      <c r="E1" s="56"/>
      <c r="F1" s="54" t="s">
        <v>146</v>
      </c>
      <c r="G1" s="57"/>
      <c r="H1" s="54"/>
      <c r="I1" s="54"/>
      <c r="J1" s="54"/>
      <c r="K1" s="54"/>
      <c r="L1" s="56"/>
      <c r="M1" s="54"/>
      <c r="N1" s="54"/>
      <c r="O1" s="56"/>
      <c r="P1" s="56"/>
      <c r="Q1" s="54"/>
      <c r="R1" s="54"/>
      <c r="S1" s="56"/>
    </row>
    <row r="2" spans="1:19" s="58" customFormat="1" ht="18.75" customHeight="1">
      <c r="A2" s="56"/>
      <c r="B2" s="133" t="s">
        <v>124</v>
      </c>
      <c r="C2" s="54"/>
      <c r="D2" s="54"/>
      <c r="E2" s="56"/>
      <c r="F2" s="54"/>
      <c r="G2" s="57"/>
      <c r="H2" s="54"/>
      <c r="I2" s="54"/>
      <c r="J2" s="54"/>
      <c r="K2" s="54"/>
      <c r="L2" s="56"/>
      <c r="M2" s="54"/>
      <c r="N2" s="54"/>
      <c r="O2" s="56"/>
      <c r="P2" s="56"/>
      <c r="Q2" s="54"/>
      <c r="R2" s="54"/>
      <c r="S2" s="56"/>
    </row>
    <row r="3" spans="1:19" s="58" customFormat="1" ht="12">
      <c r="A3" s="56"/>
      <c r="B3" s="56" t="s">
        <v>58</v>
      </c>
      <c r="C3" s="59">
        <v>2437.7</v>
      </c>
      <c r="D3" s="59"/>
      <c r="E3" s="56" t="s">
        <v>32</v>
      </c>
      <c r="F3" s="59" t="s">
        <v>117</v>
      </c>
      <c r="G3" s="60">
        <v>79</v>
      </c>
      <c r="H3" s="54"/>
      <c r="I3" s="54"/>
      <c r="J3" s="54"/>
      <c r="K3" s="54"/>
      <c r="L3" s="56"/>
      <c r="M3" s="54"/>
      <c r="N3" s="54"/>
      <c r="O3" s="56"/>
      <c r="P3" s="56"/>
      <c r="Q3" s="54"/>
      <c r="R3" s="54"/>
      <c r="S3" s="56"/>
    </row>
    <row r="4" spans="1:19" s="76" customFormat="1" ht="12.75" thickBot="1">
      <c r="A4" s="71"/>
      <c r="B4" s="71" t="s">
        <v>36</v>
      </c>
      <c r="C4" s="72">
        <v>31</v>
      </c>
      <c r="D4" s="73"/>
      <c r="E4" s="71"/>
      <c r="F4" s="74"/>
      <c r="G4" s="75"/>
      <c r="H4" s="74"/>
      <c r="I4" s="74"/>
      <c r="J4" s="74"/>
      <c r="K4" s="74"/>
      <c r="L4" s="71"/>
      <c r="M4" s="74"/>
      <c r="N4" s="74"/>
      <c r="O4" s="71"/>
      <c r="P4" s="71"/>
      <c r="Q4" s="74"/>
      <c r="R4" s="74"/>
      <c r="S4" s="71"/>
    </row>
    <row r="5" spans="1:19" s="76" customFormat="1" ht="12">
      <c r="A5" s="77" t="s">
        <v>30</v>
      </c>
      <c r="B5" s="78" t="s">
        <v>1</v>
      </c>
      <c r="C5" s="65" t="s">
        <v>2</v>
      </c>
      <c r="D5" s="65" t="s">
        <v>2</v>
      </c>
      <c r="E5" s="79" t="s">
        <v>4</v>
      </c>
      <c r="F5" s="80" t="s">
        <v>33</v>
      </c>
      <c r="G5" s="80" t="s">
        <v>59</v>
      </c>
      <c r="H5" s="81"/>
      <c r="I5" s="81"/>
      <c r="J5" s="81"/>
      <c r="K5" s="81"/>
      <c r="L5" s="80" t="s">
        <v>59</v>
      </c>
      <c r="M5" s="81"/>
      <c r="N5" s="81"/>
      <c r="O5" s="82" t="s">
        <v>60</v>
      </c>
      <c r="P5" s="79" t="s">
        <v>61</v>
      </c>
      <c r="Q5" s="80" t="s">
        <v>62</v>
      </c>
      <c r="R5" s="83" t="s">
        <v>109</v>
      </c>
      <c r="S5" s="84" t="s">
        <v>63</v>
      </c>
    </row>
    <row r="6" spans="1:19" s="76" customFormat="1" ht="12">
      <c r="A6" s="85" t="s">
        <v>31</v>
      </c>
      <c r="B6" s="86"/>
      <c r="C6" s="66" t="s">
        <v>3</v>
      </c>
      <c r="D6" s="66" t="s">
        <v>3</v>
      </c>
      <c r="E6" s="87" t="s">
        <v>5</v>
      </c>
      <c r="F6" s="88" t="s">
        <v>34</v>
      </c>
      <c r="G6" s="88" t="s">
        <v>91</v>
      </c>
      <c r="H6" s="89"/>
      <c r="I6" s="89"/>
      <c r="J6" s="89"/>
      <c r="K6" s="89"/>
      <c r="L6" s="88" t="s">
        <v>97</v>
      </c>
      <c r="M6" s="89"/>
      <c r="N6" s="89"/>
      <c r="O6" s="90" t="s">
        <v>64</v>
      </c>
      <c r="P6" s="91" t="s">
        <v>65</v>
      </c>
      <c r="Q6" s="88" t="s">
        <v>66</v>
      </c>
      <c r="R6" s="92" t="s">
        <v>110</v>
      </c>
      <c r="S6" s="93"/>
    </row>
    <row r="7" spans="1:19" s="76" customFormat="1" ht="12">
      <c r="A7" s="85"/>
      <c r="B7" s="86"/>
      <c r="C7" s="67" t="s">
        <v>89</v>
      </c>
      <c r="D7" s="67" t="s">
        <v>90</v>
      </c>
      <c r="E7" s="87"/>
      <c r="F7" s="88" t="s">
        <v>40</v>
      </c>
      <c r="G7" s="88" t="s">
        <v>67</v>
      </c>
      <c r="H7" s="89" t="s">
        <v>68</v>
      </c>
      <c r="I7" s="89" t="s">
        <v>69</v>
      </c>
      <c r="J7" s="89" t="s">
        <v>70</v>
      </c>
      <c r="K7" s="89" t="s">
        <v>71</v>
      </c>
      <c r="L7" s="88" t="s">
        <v>67</v>
      </c>
      <c r="M7" s="89" t="s">
        <v>72</v>
      </c>
      <c r="N7" s="89" t="s">
        <v>73</v>
      </c>
      <c r="O7" s="94" t="s">
        <v>125</v>
      </c>
      <c r="P7" s="87"/>
      <c r="Q7" s="88" t="s">
        <v>74</v>
      </c>
      <c r="R7" s="92" t="s">
        <v>111</v>
      </c>
      <c r="S7" s="93"/>
    </row>
    <row r="8" spans="1:19" s="76" customFormat="1" ht="12.75" thickBot="1">
      <c r="A8" s="95"/>
      <c r="B8" s="96"/>
      <c r="C8" s="68"/>
      <c r="D8" s="68"/>
      <c r="E8" s="97"/>
      <c r="F8" s="98" t="s">
        <v>123</v>
      </c>
      <c r="G8" s="98" t="s">
        <v>75</v>
      </c>
      <c r="H8" s="99"/>
      <c r="I8" s="99"/>
      <c r="J8" s="99"/>
      <c r="K8" s="99"/>
      <c r="L8" s="98" t="s">
        <v>75</v>
      </c>
      <c r="M8" s="99"/>
      <c r="N8" s="99"/>
      <c r="O8" s="100"/>
      <c r="P8" s="97"/>
      <c r="Q8" s="99" t="s">
        <v>34</v>
      </c>
      <c r="R8" s="101" t="s">
        <v>112</v>
      </c>
      <c r="S8" s="102"/>
    </row>
    <row r="9" spans="1:19" s="76" customFormat="1" ht="12">
      <c r="A9" s="103">
        <v>1</v>
      </c>
      <c r="B9" s="138" t="s">
        <v>22</v>
      </c>
      <c r="C9" s="139"/>
      <c r="D9" s="139"/>
      <c r="E9" s="140"/>
      <c r="F9" s="81"/>
      <c r="G9" s="80">
        <f>SUM(H9:K9)</f>
        <v>33055.19</v>
      </c>
      <c r="H9" s="81">
        <f>6932.13+1056.06+275.61</f>
        <v>8263.800000000001</v>
      </c>
      <c r="I9" s="81">
        <f>6757.38+1230.81+137.8+137.81</f>
        <v>8263.800000000001</v>
      </c>
      <c r="J9" s="81">
        <f>6757.38+1230.81+137.8+137.8</f>
        <v>8263.79</v>
      </c>
      <c r="K9" s="81">
        <f>1230.81+137.8+6757.38+137.81</f>
        <v>8263.8</v>
      </c>
      <c r="L9" s="80">
        <f>M9+N9</f>
        <v>16527.6</v>
      </c>
      <c r="M9" s="81">
        <f>7988.19+275.61</f>
        <v>8263.8</v>
      </c>
      <c r="N9" s="81">
        <f>7988.19+275.61</f>
        <v>8263.8</v>
      </c>
      <c r="O9" s="141" t="s">
        <v>76</v>
      </c>
      <c r="P9" s="140"/>
      <c r="Q9" s="81"/>
      <c r="R9" s="142"/>
      <c r="S9" s="143">
        <f>G9+L9-R10</f>
        <v>0</v>
      </c>
    </row>
    <row r="10" spans="1:19" s="76" customFormat="1" ht="12.75" thickBot="1">
      <c r="A10" s="109"/>
      <c r="B10" s="144" t="s">
        <v>23</v>
      </c>
      <c r="C10" s="68">
        <v>3.39</v>
      </c>
      <c r="D10" s="68">
        <v>3.39</v>
      </c>
      <c r="E10" s="97" t="s">
        <v>92</v>
      </c>
      <c r="F10" s="145">
        <f>C3*C10</f>
        <v>8263.803</v>
      </c>
      <c r="G10" s="98"/>
      <c r="H10" s="99"/>
      <c r="I10" s="99"/>
      <c r="J10" s="99"/>
      <c r="K10" s="99">
        <v>0</v>
      </c>
      <c r="L10" s="98"/>
      <c r="M10" s="99"/>
      <c r="N10" s="99">
        <v>0</v>
      </c>
      <c r="O10" s="100"/>
      <c r="P10" s="97" t="s">
        <v>99</v>
      </c>
      <c r="Q10" s="99"/>
      <c r="R10" s="146">
        <v>49582.79</v>
      </c>
      <c r="S10" s="102"/>
    </row>
    <row r="11" spans="1:19" s="76" customFormat="1" ht="12">
      <c r="A11" s="109">
        <v>2</v>
      </c>
      <c r="B11" s="138" t="s">
        <v>24</v>
      </c>
      <c r="C11" s="139"/>
      <c r="D11" s="139"/>
      <c r="E11" s="140"/>
      <c r="F11" s="81"/>
      <c r="G11" s="80">
        <f>SUM(H11:K11)</f>
        <v>44561.200000000004</v>
      </c>
      <c r="H11" s="81">
        <f>9345.09+1423.67+371.54</f>
        <v>11140.300000000001</v>
      </c>
      <c r="I11" s="81">
        <f>9109.51+1659.25+185.77+185.77</f>
        <v>11140.300000000001</v>
      </c>
      <c r="J11" s="81">
        <f>9109.51+185.77+1659.25+185.77</f>
        <v>11140.300000000001</v>
      </c>
      <c r="K11" s="81">
        <f>1659.25+9109.51+185.77+185.77</f>
        <v>11140.300000000001</v>
      </c>
      <c r="L11" s="80">
        <f>SUM(M11:N11)</f>
        <v>22280.6</v>
      </c>
      <c r="M11" s="81">
        <f>10768.76+371.54</f>
        <v>11140.300000000001</v>
      </c>
      <c r="N11" s="81">
        <v>11140.3</v>
      </c>
      <c r="O11" s="141" t="s">
        <v>76</v>
      </c>
      <c r="P11" s="140"/>
      <c r="Q11" s="81"/>
      <c r="R11" s="142"/>
      <c r="S11" s="143">
        <f>G11+L11-R12</f>
        <v>18941.800000000003</v>
      </c>
    </row>
    <row r="12" spans="1:19" s="76" customFormat="1" ht="12.75" thickBot="1">
      <c r="A12" s="109"/>
      <c r="B12" s="144" t="s">
        <v>25</v>
      </c>
      <c r="C12" s="68">
        <v>4.57</v>
      </c>
      <c r="D12" s="68">
        <v>4.57</v>
      </c>
      <c r="E12" s="97" t="s">
        <v>92</v>
      </c>
      <c r="F12" s="145">
        <f>C3*C12</f>
        <v>11140.289</v>
      </c>
      <c r="G12" s="98">
        <f>H12+I12+J12+K12</f>
        <v>0</v>
      </c>
      <c r="H12" s="99">
        <v>0</v>
      </c>
      <c r="I12" s="99">
        <v>0</v>
      </c>
      <c r="J12" s="99">
        <v>0</v>
      </c>
      <c r="K12" s="99">
        <v>0</v>
      </c>
      <c r="L12" s="98">
        <v>0</v>
      </c>
      <c r="M12" s="99"/>
      <c r="N12" s="99">
        <v>0</v>
      </c>
      <c r="O12" s="100"/>
      <c r="P12" s="147" t="s">
        <v>99</v>
      </c>
      <c r="Q12" s="99"/>
      <c r="R12" s="146">
        <f>C32+C33</f>
        <v>47900</v>
      </c>
      <c r="S12" s="102"/>
    </row>
    <row r="13" spans="1:19" s="76" customFormat="1" ht="12">
      <c r="A13" s="109">
        <v>3</v>
      </c>
      <c r="B13" s="61" t="s">
        <v>95</v>
      </c>
      <c r="C13" s="69">
        <v>0.33</v>
      </c>
      <c r="D13" s="69">
        <v>0.33</v>
      </c>
      <c r="E13" s="104" t="s">
        <v>92</v>
      </c>
      <c r="F13" s="105">
        <f>C3*C13</f>
        <v>804.441</v>
      </c>
      <c r="G13" s="106">
        <f>SUM(H13:K13)</f>
        <v>3217.7599999999998</v>
      </c>
      <c r="H13" s="105">
        <f>674.81+102.8+26.83</f>
        <v>804.4399999999999</v>
      </c>
      <c r="I13" s="105">
        <f>657.8+119.81+13.41+13.42</f>
        <v>804.4399999999998</v>
      </c>
      <c r="J13" s="105">
        <f>119.81+657.8+13.41+13.42</f>
        <v>804.4399999999998</v>
      </c>
      <c r="K13" s="105">
        <f>13.41+119.81+657.8+13.42</f>
        <v>804.4399999999999</v>
      </c>
      <c r="L13" s="106">
        <f>SUM(M13:N13)</f>
        <v>1608.88</v>
      </c>
      <c r="M13" s="105">
        <f>777.61+26.83</f>
        <v>804.44</v>
      </c>
      <c r="N13" s="105">
        <v>804.44</v>
      </c>
      <c r="O13" s="107" t="s">
        <v>98</v>
      </c>
      <c r="P13" s="104" t="s">
        <v>107</v>
      </c>
      <c r="Q13" s="105">
        <v>800</v>
      </c>
      <c r="R13" s="108">
        <v>1600</v>
      </c>
      <c r="S13" s="135">
        <f>G13+L13-R13</f>
        <v>3226.6399999999994</v>
      </c>
    </row>
    <row r="14" spans="1:19" s="76" customFormat="1" ht="12">
      <c r="A14" s="109">
        <v>4</v>
      </c>
      <c r="B14" s="62" t="s">
        <v>7</v>
      </c>
      <c r="C14" s="67">
        <v>1.29</v>
      </c>
      <c r="D14" s="67">
        <v>1.29</v>
      </c>
      <c r="E14" s="87" t="s">
        <v>92</v>
      </c>
      <c r="F14" s="110">
        <f>C3*C14</f>
        <v>3144.633</v>
      </c>
      <c r="G14" s="88">
        <f aca="true" t="shared" si="0" ref="G14:G19">SUM(H14:K14)</f>
        <v>12578.52</v>
      </c>
      <c r="H14" s="89">
        <f>2637.9+401.85+104.88</f>
        <v>3144.63</v>
      </c>
      <c r="I14" s="89">
        <f>2571.4+468.35+52.44+52.44</f>
        <v>3144.63</v>
      </c>
      <c r="J14" s="89">
        <f>468.35+2571.4+52.44+52.44</f>
        <v>3144.63</v>
      </c>
      <c r="K14" s="89">
        <f>52.44+468.35+2571.4+52.44</f>
        <v>3144.63</v>
      </c>
      <c r="L14" s="88">
        <f>M14+N14</f>
        <v>6289.26</v>
      </c>
      <c r="M14" s="89">
        <f>3039.75+104.88</f>
        <v>3144.63</v>
      </c>
      <c r="N14" s="89">
        <v>3144.63</v>
      </c>
      <c r="O14" s="94" t="s">
        <v>76</v>
      </c>
      <c r="P14" s="87" t="s">
        <v>100</v>
      </c>
      <c r="Q14" s="89"/>
      <c r="R14" s="111">
        <v>18867.78</v>
      </c>
      <c r="S14" s="134">
        <f>G14+L14-R14</f>
        <v>0</v>
      </c>
    </row>
    <row r="15" spans="1:19" s="76" customFormat="1" ht="12">
      <c r="A15" s="109">
        <v>5</v>
      </c>
      <c r="B15" s="62" t="s">
        <v>9</v>
      </c>
      <c r="C15" s="67">
        <v>1.27</v>
      </c>
      <c r="D15" s="67">
        <v>1.27</v>
      </c>
      <c r="E15" s="87" t="s">
        <v>92</v>
      </c>
      <c r="F15" s="110">
        <f>(C3-92)*C15</f>
        <v>2979.0389999999998</v>
      </c>
      <c r="G15" s="88">
        <f t="shared" si="0"/>
        <v>11916.24</v>
      </c>
      <c r="H15" s="89">
        <f>2480.18+395.63+103.25</f>
        <v>2979.06</v>
      </c>
      <c r="I15" s="89">
        <f>2414.71+461.1+51.63+51.62</f>
        <v>2979.06</v>
      </c>
      <c r="J15" s="89">
        <f>461.1+2414.71+51.63+51.62</f>
        <v>2979.06</v>
      </c>
      <c r="K15" s="89">
        <f>51.63+461.1+2414.71+51.62</f>
        <v>2979.06</v>
      </c>
      <c r="L15" s="88">
        <f>M15+N15</f>
        <v>5958.12</v>
      </c>
      <c r="M15" s="89">
        <f>2875.81+103.25</f>
        <v>2979.06</v>
      </c>
      <c r="N15" s="89">
        <v>2979.06</v>
      </c>
      <c r="O15" s="94" t="s">
        <v>76</v>
      </c>
      <c r="P15" s="87" t="s">
        <v>100</v>
      </c>
      <c r="Q15" s="89"/>
      <c r="R15" s="111">
        <v>17874.36</v>
      </c>
      <c r="S15" s="134">
        <f>G15+L15-R15</f>
        <v>0</v>
      </c>
    </row>
    <row r="16" spans="1:19" s="76" customFormat="1" ht="12">
      <c r="A16" s="109">
        <v>6</v>
      </c>
      <c r="B16" s="62" t="s">
        <v>26</v>
      </c>
      <c r="C16" s="67">
        <v>2.9</v>
      </c>
      <c r="D16" s="67">
        <v>2.9</v>
      </c>
      <c r="E16" s="87" t="s">
        <v>92</v>
      </c>
      <c r="F16" s="110">
        <f>C3*C16</f>
        <v>7069.329999999999</v>
      </c>
      <c r="G16" s="88">
        <f t="shared" si="0"/>
        <v>28277.36</v>
      </c>
      <c r="H16" s="89">
        <f>5930.13+903.44+235.77</f>
        <v>7069.34</v>
      </c>
      <c r="I16" s="89">
        <f>5780.63+1052.94+117.88+117.89</f>
        <v>7069.34</v>
      </c>
      <c r="J16" s="89">
        <f>1052.94+5780.63+117.88+117.89</f>
        <v>7069.34</v>
      </c>
      <c r="K16" s="89">
        <f>1052.94+117.88+5780.63+117.89</f>
        <v>7069.340000000001</v>
      </c>
      <c r="L16" s="88">
        <f>SUM(M16:N16)</f>
        <v>14138.68</v>
      </c>
      <c r="M16" s="89">
        <f>6833.57+235.77</f>
        <v>7069.34</v>
      </c>
      <c r="N16" s="89">
        <v>7069.34</v>
      </c>
      <c r="O16" s="94" t="s">
        <v>114</v>
      </c>
      <c r="P16" s="87" t="s">
        <v>115</v>
      </c>
      <c r="Q16" s="89"/>
      <c r="R16" s="111"/>
      <c r="S16" s="134">
        <f>G16+L16</f>
        <v>42416.04</v>
      </c>
    </row>
    <row r="17" spans="1:19" s="76" customFormat="1" ht="12">
      <c r="A17" s="109">
        <v>7</v>
      </c>
      <c r="B17" s="62" t="s">
        <v>79</v>
      </c>
      <c r="C17" s="67">
        <v>1.93</v>
      </c>
      <c r="D17" s="67">
        <v>1.93</v>
      </c>
      <c r="E17" s="87" t="s">
        <v>113</v>
      </c>
      <c r="F17" s="89">
        <v>3057.52</v>
      </c>
      <c r="G17" s="88">
        <f t="shared" si="0"/>
        <v>9172.56</v>
      </c>
      <c r="H17" s="89">
        <v>0</v>
      </c>
      <c r="I17" s="89">
        <f>2354.09+509.12+97.16+97.15</f>
        <v>3057.52</v>
      </c>
      <c r="J17" s="89">
        <f>509.12+2354.09+97.16+97.15</f>
        <v>3057.52</v>
      </c>
      <c r="K17" s="89">
        <f>97.16+509.12+2354.09+97.15</f>
        <v>3057.52</v>
      </c>
      <c r="L17" s="88">
        <f>SUM(M17:N17)</f>
        <v>4938.12</v>
      </c>
      <c r="M17" s="89">
        <f>2312.15+156.91</f>
        <v>2469.06</v>
      </c>
      <c r="N17" s="89">
        <v>2469.06</v>
      </c>
      <c r="O17" s="94" t="s">
        <v>101</v>
      </c>
      <c r="P17" s="87" t="s">
        <v>108</v>
      </c>
      <c r="Q17" s="89">
        <v>2267.24</v>
      </c>
      <c r="R17" s="111">
        <f>Q17*5</f>
        <v>11336.199999999999</v>
      </c>
      <c r="S17" s="134">
        <f>G17+L17-R17</f>
        <v>2774.4800000000014</v>
      </c>
    </row>
    <row r="18" spans="1:19" s="76" customFormat="1" ht="12">
      <c r="A18" s="109">
        <v>8</v>
      </c>
      <c r="B18" s="62" t="s">
        <v>80</v>
      </c>
      <c r="C18" s="67">
        <v>0.46</v>
      </c>
      <c r="D18" s="67">
        <v>0.46</v>
      </c>
      <c r="E18" s="87" t="s">
        <v>92</v>
      </c>
      <c r="F18" s="89">
        <f>(C3-92)*C18</f>
        <v>1079.022</v>
      </c>
      <c r="G18" s="88">
        <f t="shared" si="0"/>
        <v>2885.12</v>
      </c>
      <c r="H18" s="89">
        <f>749.67+113.52+37.4</f>
        <v>900.5899999999999</v>
      </c>
      <c r="I18" s="89">
        <f>725.96+137.23+18.7+18.7</f>
        <v>900.5900000000001</v>
      </c>
      <c r="J18" s="89">
        <f>-37.4</f>
        <v>-37.4</v>
      </c>
      <c r="K18" s="89">
        <f>18.7+167.04+916.9+18.7</f>
        <v>1121.34</v>
      </c>
      <c r="L18" s="88">
        <f>M18+N18</f>
        <v>2242.6800000000003</v>
      </c>
      <c r="M18" s="89">
        <f>1083.94+37.4</f>
        <v>1121.3400000000001</v>
      </c>
      <c r="N18" s="89">
        <v>1121.34</v>
      </c>
      <c r="O18" s="94" t="s">
        <v>127</v>
      </c>
      <c r="P18" s="87" t="s">
        <v>99</v>
      </c>
      <c r="Q18" s="89"/>
      <c r="R18" s="111">
        <v>5127.8</v>
      </c>
      <c r="S18" s="134">
        <f>G18+L18-R18</f>
        <v>0</v>
      </c>
    </row>
    <row r="19" spans="1:19" s="76" customFormat="1" ht="12">
      <c r="A19" s="109">
        <v>9</v>
      </c>
      <c r="B19" s="63" t="s">
        <v>81</v>
      </c>
      <c r="C19" s="70">
        <v>0.2</v>
      </c>
      <c r="D19" s="70">
        <v>0.2</v>
      </c>
      <c r="E19" s="113" t="s">
        <v>92</v>
      </c>
      <c r="F19" s="114">
        <f>C3*C19</f>
        <v>487.53999999999996</v>
      </c>
      <c r="G19" s="88">
        <f t="shared" si="0"/>
        <v>1950.16</v>
      </c>
      <c r="H19" s="114">
        <f>408.97+62.31+16.26</f>
        <v>487.54</v>
      </c>
      <c r="I19" s="114">
        <f>398.66+72.62+8.12+8.14</f>
        <v>487.54</v>
      </c>
      <c r="J19" s="114">
        <f>72.62+8.12+398.66+8.14</f>
        <v>487.54</v>
      </c>
      <c r="K19" s="114">
        <f>72.62+8.12+398.66+8.14</f>
        <v>487.54</v>
      </c>
      <c r="L19" s="115">
        <f>M19+N19</f>
        <v>975.0799999999999</v>
      </c>
      <c r="M19" s="114">
        <f>471.28+16.26</f>
        <v>487.53999999999996</v>
      </c>
      <c r="N19" s="114">
        <v>487.54</v>
      </c>
      <c r="O19" s="116" t="s">
        <v>76</v>
      </c>
      <c r="P19" s="113" t="s">
        <v>99</v>
      </c>
      <c r="Q19" s="114">
        <v>487.54</v>
      </c>
      <c r="R19" s="117">
        <v>2925.24</v>
      </c>
      <c r="S19" s="136">
        <f>G19+L19-R19</f>
        <v>0</v>
      </c>
    </row>
    <row r="20" spans="1:19" s="76" customFormat="1" ht="12">
      <c r="A20" s="109"/>
      <c r="B20" s="64" t="s">
        <v>82</v>
      </c>
      <c r="C20" s="70"/>
      <c r="D20" s="70"/>
      <c r="E20" s="113"/>
      <c r="F20" s="119">
        <f>F10+F12+F13+F14+F15+F16+F17+F18+F19</f>
        <v>38025.61699999999</v>
      </c>
      <c r="G20" s="119">
        <f>SUM(H20:K20)</f>
        <v>147614.11000000002</v>
      </c>
      <c r="H20" s="119">
        <f>H9+H11+H13+H14+H15+H16+H17+H18+H19</f>
        <v>34789.700000000004</v>
      </c>
      <c r="I20" s="119">
        <f>I9+I11+I13+I14+I15+I16+I17+I18+I19</f>
        <v>37847.22000000001</v>
      </c>
      <c r="J20" s="119">
        <f>J9+J11+J13+J14+J15+J16+J17+J18+J19</f>
        <v>36909.22</v>
      </c>
      <c r="K20" s="119">
        <f>K9+K11+K13+K14+K15+K16+K17+K18+K19</f>
        <v>38067.969999999994</v>
      </c>
      <c r="L20" s="115">
        <f>M20+N20</f>
        <v>74959.01999999999</v>
      </c>
      <c r="M20" s="119">
        <f>M9+M11+M13+M14+M15+M16+M17+M18+M19</f>
        <v>37479.51</v>
      </c>
      <c r="N20" s="119">
        <f>N9+N11+N13+N14+N15+N16+N17+N18+N19</f>
        <v>37479.509999999995</v>
      </c>
      <c r="O20" s="116"/>
      <c r="P20" s="113"/>
      <c r="Q20" s="114"/>
      <c r="R20" s="117"/>
      <c r="S20" s="118"/>
    </row>
    <row r="21" spans="1:19" s="76" customFormat="1" ht="12">
      <c r="A21" s="109">
        <v>10</v>
      </c>
      <c r="B21" s="62" t="s">
        <v>84</v>
      </c>
      <c r="C21" s="67" t="s">
        <v>118</v>
      </c>
      <c r="D21" s="67" t="s">
        <v>119</v>
      </c>
      <c r="E21" s="87" t="s">
        <v>122</v>
      </c>
      <c r="F21" s="89">
        <v>0</v>
      </c>
      <c r="G21" s="88">
        <f>SUM(H21:K21)</f>
        <v>57433.09</v>
      </c>
      <c r="H21" s="89">
        <f>11279.03+1834.58+1199.16</f>
        <v>14312.77</v>
      </c>
      <c r="I21" s="89">
        <f>12414.91+1133.04+372.64+372.64+254+74.54+74.54+50.8</f>
        <v>14747.11</v>
      </c>
      <c r="J21" s="89">
        <f>774.47+11169.56+372.64+372.64+254+74.54+74.54+50.8</f>
        <v>13143.189999999999</v>
      </c>
      <c r="K21" s="89">
        <f>2082.29+372.64+372.64+254+11948.57+74.54+74.54+50.8</f>
        <v>15230.02</v>
      </c>
      <c r="L21" s="88">
        <f>M21+N21</f>
        <v>32797.43</v>
      </c>
      <c r="M21" s="89">
        <f>14552.53+527.82+527.82+359.76</f>
        <v>15967.93</v>
      </c>
      <c r="N21" s="89">
        <f>15414.1+527.82+527.82+359.76</f>
        <v>16829.5</v>
      </c>
      <c r="O21" s="94" t="s">
        <v>102</v>
      </c>
      <c r="P21" s="87" t="s">
        <v>103</v>
      </c>
      <c r="Q21" s="89"/>
      <c r="R21" s="111">
        <f>37804.06+7330.83+10841.68+30444.86</f>
        <v>86421.43</v>
      </c>
      <c r="S21" s="134">
        <f>G21+L21-R21</f>
        <v>3809.0899999999965</v>
      </c>
    </row>
    <row r="22" spans="1:19" s="76" customFormat="1" ht="12">
      <c r="A22" s="109"/>
      <c r="B22" s="62" t="s">
        <v>85</v>
      </c>
      <c r="C22" s="67">
        <v>11.14</v>
      </c>
      <c r="D22" s="67">
        <v>13.15</v>
      </c>
      <c r="E22" s="87" t="s">
        <v>88</v>
      </c>
      <c r="F22" s="110">
        <v>0</v>
      </c>
      <c r="G22" s="88"/>
      <c r="H22" s="89"/>
      <c r="I22" s="89">
        <v>0</v>
      </c>
      <c r="J22" s="89">
        <v>0</v>
      </c>
      <c r="K22" s="89">
        <v>0</v>
      </c>
      <c r="L22" s="88"/>
      <c r="M22" s="89">
        <v>0</v>
      </c>
      <c r="N22" s="89">
        <v>0</v>
      </c>
      <c r="O22" s="94" t="s">
        <v>102</v>
      </c>
      <c r="P22" s="87"/>
      <c r="Q22" s="89"/>
      <c r="R22" s="111"/>
      <c r="S22" s="112"/>
    </row>
    <row r="23" spans="1:19" s="76" customFormat="1" ht="12">
      <c r="A23" s="109"/>
      <c r="B23" s="62" t="s">
        <v>86</v>
      </c>
      <c r="C23" s="67">
        <v>11.14</v>
      </c>
      <c r="D23" s="67">
        <v>13.15</v>
      </c>
      <c r="E23" s="87" t="s">
        <v>88</v>
      </c>
      <c r="F23" s="110">
        <v>0</v>
      </c>
      <c r="G23" s="88"/>
      <c r="H23" s="89"/>
      <c r="I23" s="89">
        <v>0</v>
      </c>
      <c r="J23" s="89">
        <v>0</v>
      </c>
      <c r="K23" s="89">
        <v>0</v>
      </c>
      <c r="L23" s="88"/>
      <c r="M23" s="89">
        <v>0</v>
      </c>
      <c r="N23" s="89">
        <v>0</v>
      </c>
      <c r="O23" s="94" t="s">
        <v>102</v>
      </c>
      <c r="P23" s="87"/>
      <c r="Q23" s="89"/>
      <c r="R23" s="111"/>
      <c r="S23" s="112"/>
    </row>
    <row r="24" spans="1:19" s="76" customFormat="1" ht="11.25">
      <c r="A24" s="109">
        <v>11</v>
      </c>
      <c r="B24" s="62" t="s">
        <v>87</v>
      </c>
      <c r="C24" s="67" t="s">
        <v>120</v>
      </c>
      <c r="D24" s="67" t="s">
        <v>121</v>
      </c>
      <c r="E24" s="87" t="s">
        <v>122</v>
      </c>
      <c r="F24" s="110">
        <v>0</v>
      </c>
      <c r="G24" s="88">
        <f>SUM(H24:K24)</f>
        <v>57673.83</v>
      </c>
      <c r="H24" s="89">
        <f>11946.17+2007.02+1306.14</f>
        <v>15259.33</v>
      </c>
      <c r="I24" s="89">
        <f>10953.49+1136.22+1044.6+217.7</f>
        <v>13352.01</v>
      </c>
      <c r="J24" s="89">
        <f>730.32+11850.45+1010.9+222.94</f>
        <v>13814.61</v>
      </c>
      <c r="K24" s="89">
        <f>2248.58+1088.44+11693.16+217.7</f>
        <v>15247.880000000001</v>
      </c>
      <c r="L24" s="88">
        <f>M24+N24</f>
        <v>35266</v>
      </c>
      <c r="M24" s="89">
        <f>15715.11+1528.32</f>
        <v>17243.43</v>
      </c>
      <c r="N24" s="89">
        <f>16494.25+1528.32</f>
        <v>18022.57</v>
      </c>
      <c r="O24" s="94" t="s">
        <v>104</v>
      </c>
      <c r="P24" s="87" t="s">
        <v>105</v>
      </c>
      <c r="Q24" s="89" t="s">
        <v>126</v>
      </c>
      <c r="R24" s="111">
        <v>240950.71</v>
      </c>
      <c r="S24" s="134">
        <f>G24+G25+L24+L25-R24</f>
        <v>59450.840000000055</v>
      </c>
    </row>
    <row r="25" spans="1:19" s="76" customFormat="1" ht="11.25">
      <c r="A25" s="109">
        <v>12</v>
      </c>
      <c r="B25" s="62" t="s">
        <v>13</v>
      </c>
      <c r="C25" s="67">
        <v>13.29</v>
      </c>
      <c r="D25" s="67">
        <v>16.85</v>
      </c>
      <c r="E25" s="87" t="s">
        <v>92</v>
      </c>
      <c r="F25" s="110">
        <f>D25*C3</f>
        <v>41075.245</v>
      </c>
      <c r="G25" s="88">
        <f>SUM(H25:K25)</f>
        <v>125311.08</v>
      </c>
      <c r="H25" s="89">
        <f>27519.24+3671.01+1080.48</f>
        <v>32270.73</v>
      </c>
      <c r="I25" s="89">
        <f>24907.26+4356.11+795.96+222.94</f>
        <v>30282.269999999997</v>
      </c>
      <c r="J25" s="89">
        <f>4356.11+25157.89+750.41+222.94</f>
        <v>30487.35</v>
      </c>
      <c r="K25" s="89">
        <f>4356.11+857.54+26834.14+222.94</f>
        <v>32270.73</v>
      </c>
      <c r="L25" s="88">
        <f>M25+N25</f>
        <v>82150.64000000001</v>
      </c>
      <c r="M25" s="89">
        <f>39705.41+1369.91</f>
        <v>41075.32000000001</v>
      </c>
      <c r="N25" s="89">
        <f>39705.41+1369.91</f>
        <v>41075.32000000001</v>
      </c>
      <c r="O25" s="94" t="s">
        <v>104</v>
      </c>
      <c r="P25" s="87" t="s">
        <v>105</v>
      </c>
      <c r="Q25" s="89"/>
      <c r="R25" s="111"/>
      <c r="S25" s="112"/>
    </row>
    <row r="26" spans="1:19" s="76" customFormat="1" ht="11.25">
      <c r="A26" s="109">
        <v>13</v>
      </c>
      <c r="B26" s="62" t="s">
        <v>14</v>
      </c>
      <c r="C26" s="67">
        <v>28.08</v>
      </c>
      <c r="D26" s="67">
        <v>31.14</v>
      </c>
      <c r="E26" s="87" t="s">
        <v>116</v>
      </c>
      <c r="F26" s="89">
        <v>2416.06</v>
      </c>
      <c r="G26" s="88">
        <f>SUM(H26:K26)</f>
        <v>8357.23</v>
      </c>
      <c r="H26" s="89">
        <f>1668.34+269.18+28.08</f>
        <v>1965.6</v>
      </c>
      <c r="I26" s="89">
        <f>1755+189.64+140.4+28.08</f>
        <v>2113.12</v>
      </c>
      <c r="J26" s="89">
        <f>136.71+1755+140.4+28.08</f>
        <v>2060.19</v>
      </c>
      <c r="K26" s="89">
        <f>294.84+140.4+1755+28.08</f>
        <v>2218.3199999999997</v>
      </c>
      <c r="L26" s="88">
        <f>M26+N26</f>
        <v>4920.12</v>
      </c>
      <c r="M26" s="89">
        <f>2273.22+186.84</f>
        <v>2460.06</v>
      </c>
      <c r="N26" s="89">
        <f>2273.22+186.84</f>
        <v>2460.06</v>
      </c>
      <c r="O26" s="94" t="s">
        <v>106</v>
      </c>
      <c r="P26" s="87"/>
      <c r="Q26" s="89"/>
      <c r="R26" s="111">
        <v>6344.59</v>
      </c>
      <c r="S26" s="134">
        <f>G26+L26-R26</f>
        <v>6932.759999999998</v>
      </c>
    </row>
    <row r="27" spans="1:19" s="76" customFormat="1" ht="12" thickBot="1">
      <c r="A27" s="109">
        <v>14</v>
      </c>
      <c r="B27" s="62" t="s">
        <v>83</v>
      </c>
      <c r="C27" s="67">
        <v>0</v>
      </c>
      <c r="D27" s="67">
        <v>0</v>
      </c>
      <c r="E27" s="87" t="s">
        <v>92</v>
      </c>
      <c r="F27" s="89">
        <v>0</v>
      </c>
      <c r="G27" s="88"/>
      <c r="H27" s="89">
        <v>0</v>
      </c>
      <c r="I27" s="89">
        <v>0</v>
      </c>
      <c r="J27" s="89">
        <v>0</v>
      </c>
      <c r="K27" s="89">
        <v>0</v>
      </c>
      <c r="L27" s="88"/>
      <c r="M27" s="89">
        <v>0</v>
      </c>
      <c r="N27" s="89">
        <v>0</v>
      </c>
      <c r="O27" s="94"/>
      <c r="P27" s="87"/>
      <c r="Q27" s="89"/>
      <c r="R27" s="111"/>
      <c r="S27" s="134">
        <f>G27+L27-R27</f>
        <v>0</v>
      </c>
    </row>
    <row r="28" spans="1:19" s="76" customFormat="1" ht="12" thickBot="1">
      <c r="A28" s="109"/>
      <c r="B28" s="120" t="s">
        <v>77</v>
      </c>
      <c r="C28" s="121"/>
      <c r="D28" s="121" t="s">
        <v>93</v>
      </c>
      <c r="E28" s="122"/>
      <c r="F28" s="123"/>
      <c r="G28" s="123">
        <f>G20+G21+G24+G25+G26+G27</f>
        <v>396389.34</v>
      </c>
      <c r="H28" s="124">
        <f>H20+H21+H24+H25+H26</f>
        <v>98598.13</v>
      </c>
      <c r="I28" s="124">
        <f>I20+I21+I24+I25+I26</f>
        <v>98341.73000000001</v>
      </c>
      <c r="J28" s="124">
        <f>J20+J21+J24+J25+J26</f>
        <v>96414.56</v>
      </c>
      <c r="K28" s="124">
        <f>K20+K21+K24+K25+K26</f>
        <v>103034.91999999998</v>
      </c>
      <c r="L28" s="123">
        <f>L20+L21+L24+L25+L26</f>
        <v>230093.21</v>
      </c>
      <c r="M28" s="124">
        <f>SUM(M21:M27)+M20</f>
        <v>114226.25</v>
      </c>
      <c r="N28" s="124">
        <f>SUM(N21:N27)+N20</f>
        <v>115866.96</v>
      </c>
      <c r="O28" s="125"/>
      <c r="P28" s="122"/>
      <c r="Q28" s="124"/>
      <c r="R28" s="126">
        <f>SUM(R9:R27)</f>
        <v>488930.89999999997</v>
      </c>
      <c r="S28" s="137">
        <f>S9+S11+S13+S14+S15+S16+S17+S18+S19+S21+S24+S26+S27</f>
        <v>137551.65000000005</v>
      </c>
    </row>
    <row r="29" spans="1:19" s="76" customFormat="1" ht="12" thickBot="1">
      <c r="A29" s="128"/>
      <c r="B29" s="129"/>
      <c r="C29" s="121"/>
      <c r="D29" s="121"/>
      <c r="E29" s="130"/>
      <c r="F29" s="124"/>
      <c r="G29" s="123"/>
      <c r="H29" s="124"/>
      <c r="I29" s="124"/>
      <c r="J29" s="124"/>
      <c r="K29" s="124"/>
      <c r="L29" s="122"/>
      <c r="M29" s="124"/>
      <c r="N29" s="124"/>
      <c r="O29" s="131"/>
      <c r="P29" s="122"/>
      <c r="Q29" s="124"/>
      <c r="R29" s="132"/>
      <c r="S29" s="127"/>
    </row>
    <row r="30" spans="1:19" s="76" customFormat="1" ht="11.25">
      <c r="A30" s="91" t="s">
        <v>94</v>
      </c>
      <c r="B30" s="104"/>
      <c r="C30" s="105"/>
      <c r="D30" s="105"/>
      <c r="E30" s="104"/>
      <c r="F30" s="106" t="s">
        <v>96</v>
      </c>
      <c r="G30" s="106"/>
      <c r="H30" s="105"/>
      <c r="I30" s="105"/>
      <c r="J30" s="105"/>
      <c r="K30" s="105"/>
      <c r="L30" s="104"/>
      <c r="M30" s="105"/>
      <c r="N30" s="105"/>
      <c r="O30" s="104"/>
      <c r="P30" s="104"/>
      <c r="Q30" s="105"/>
      <c r="R30" s="106" t="s">
        <v>78</v>
      </c>
      <c r="S30" s="104"/>
    </row>
    <row r="31" ht="12.75">
      <c r="B31" s="148" t="s">
        <v>128</v>
      </c>
    </row>
    <row r="32" spans="2:3" ht="12.75">
      <c r="B32" s="151" t="s">
        <v>129</v>
      </c>
      <c r="C32" s="149">
        <v>28500</v>
      </c>
    </row>
    <row r="33" spans="2:3" ht="12.75">
      <c r="B33" s="151" t="s">
        <v>130</v>
      </c>
      <c r="C33" s="150">
        <v>19400</v>
      </c>
    </row>
    <row r="34" ht="12.75">
      <c r="B34" s="152" t="s">
        <v>131</v>
      </c>
    </row>
    <row r="35" ht="12.75">
      <c r="B35" s="148" t="s">
        <v>132</v>
      </c>
    </row>
    <row r="36" spans="2:5" ht="12.75">
      <c r="B36" s="153" t="s">
        <v>133</v>
      </c>
      <c r="C36" s="154" t="s">
        <v>134</v>
      </c>
      <c r="D36" s="155"/>
      <c r="E36" s="156"/>
    </row>
    <row r="37" spans="3:5" ht="12.75">
      <c r="C37" s="157" t="s">
        <v>135</v>
      </c>
      <c r="D37" s="158"/>
      <c r="E37" s="159"/>
    </row>
    <row r="38" spans="3:5" ht="12.75">
      <c r="C38" s="157" t="s">
        <v>136</v>
      </c>
      <c r="D38" s="158"/>
      <c r="E38" s="159"/>
    </row>
    <row r="39" spans="3:5" ht="12.75">
      <c r="C39" s="157" t="s">
        <v>137</v>
      </c>
      <c r="D39" s="158"/>
      <c r="E39" s="159"/>
    </row>
    <row r="40" spans="3:5" ht="12.75">
      <c r="C40" s="157" t="s">
        <v>138</v>
      </c>
      <c r="D40" s="158"/>
      <c r="E40" s="159"/>
    </row>
    <row r="41" spans="3:5" ht="12.75">
      <c r="C41" s="160" t="s">
        <v>139</v>
      </c>
      <c r="D41" s="161"/>
      <c r="E41" s="162"/>
    </row>
    <row r="42" spans="2:5" ht="12.75">
      <c r="B42" s="165" t="s">
        <v>140</v>
      </c>
      <c r="C42" s="168" t="s">
        <v>143</v>
      </c>
      <c r="D42" s="168"/>
      <c r="E42" s="165">
        <v>450.4</v>
      </c>
    </row>
    <row r="43" spans="3:6" ht="13.5" thickBot="1">
      <c r="C43" s="53" t="s">
        <v>2</v>
      </c>
      <c r="D43" s="53" t="s">
        <v>34</v>
      </c>
      <c r="F43" s="53" t="s">
        <v>144</v>
      </c>
    </row>
    <row r="44" spans="2:6" ht="12.75">
      <c r="B44" s="163" t="s">
        <v>22</v>
      </c>
      <c r="C44" s="170">
        <v>3.39</v>
      </c>
      <c r="D44" s="171">
        <f>C44*E42</f>
        <v>1526.856</v>
      </c>
      <c r="E44" s="172"/>
      <c r="F44" s="173">
        <f>D44*6</f>
        <v>9161.136</v>
      </c>
    </row>
    <row r="45" spans="2:6" ht="13.5" thickBot="1">
      <c r="B45" s="164" t="s">
        <v>23</v>
      </c>
      <c r="C45" s="174"/>
      <c r="D45" s="175"/>
      <c r="E45" s="176"/>
      <c r="F45" s="177"/>
    </row>
    <row r="46" spans="2:6" ht="12.75">
      <c r="B46" s="163" t="s">
        <v>24</v>
      </c>
      <c r="C46" s="170">
        <v>4.57</v>
      </c>
      <c r="D46" s="171">
        <f>C46*E42</f>
        <v>2058.328</v>
      </c>
      <c r="E46" s="172"/>
      <c r="F46" s="173">
        <f>D46*6</f>
        <v>12349.968</v>
      </c>
    </row>
    <row r="47" spans="2:6" ht="13.5" thickBot="1">
      <c r="B47" s="164" t="s">
        <v>25</v>
      </c>
      <c r="C47" s="174"/>
      <c r="D47" s="175"/>
      <c r="E47" s="176"/>
      <c r="F47" s="177"/>
    </row>
    <row r="48" spans="2:6" ht="13.5" thickBot="1">
      <c r="B48" s="178" t="s">
        <v>7</v>
      </c>
      <c r="C48" s="179">
        <v>1.29</v>
      </c>
      <c r="D48" s="180">
        <f>C48*E42</f>
        <v>581.016</v>
      </c>
      <c r="E48" s="181"/>
      <c r="F48" s="182">
        <f>D48*6</f>
        <v>3486.0959999999995</v>
      </c>
    </row>
    <row r="49" spans="2:6" ht="13.5" thickBot="1">
      <c r="B49" s="178" t="s">
        <v>81</v>
      </c>
      <c r="C49" s="179">
        <v>0.2</v>
      </c>
      <c r="D49" s="180">
        <f>C49*E42</f>
        <v>90.08</v>
      </c>
      <c r="E49" s="181"/>
      <c r="F49" s="182">
        <f>D49*6</f>
        <v>540.48</v>
      </c>
    </row>
    <row r="50" spans="2:18" s="167" customFormat="1" ht="13.5" thickBot="1">
      <c r="B50" s="183" t="s">
        <v>82</v>
      </c>
      <c r="C50" s="166"/>
      <c r="D50" s="184">
        <f>D44+D46+D48+D49</f>
        <v>4256.28</v>
      </c>
      <c r="E50" s="185"/>
      <c r="F50" s="186">
        <f>F44+F46+F48+F49</f>
        <v>25537.679999999997</v>
      </c>
      <c r="G50" s="166"/>
      <c r="H50" s="169"/>
      <c r="I50" s="169"/>
      <c r="J50" s="169"/>
      <c r="K50" s="169"/>
      <c r="M50" s="166"/>
      <c r="N50" s="166"/>
      <c r="Q50" s="166"/>
      <c r="R50" s="166"/>
    </row>
    <row r="51" spans="2:6" ht="13.5" thickBot="1">
      <c r="B51" s="178" t="s">
        <v>13</v>
      </c>
      <c r="C51" s="187" t="s">
        <v>141</v>
      </c>
      <c r="D51" s="188" t="s">
        <v>142</v>
      </c>
      <c r="E51" s="189"/>
      <c r="F51" s="190">
        <f>9746.66*4+10719.52*2</f>
        <v>60425.68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buh</cp:lastModifiedBy>
  <cp:lastPrinted>2013-06-02T06:48:08Z</cp:lastPrinted>
  <dcterms:created xsi:type="dcterms:W3CDTF">2010-03-19T07:34:08Z</dcterms:created>
  <dcterms:modified xsi:type="dcterms:W3CDTF">2014-04-17T14:23:23Z</dcterms:modified>
  <cp:category/>
  <cp:version/>
  <cp:contentType/>
  <cp:contentStatus/>
</cp:coreProperties>
</file>