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11640" firstSheet="1" activeTab="3"/>
  </bookViews>
  <sheets>
    <sheet name="Лист1" sheetId="1" state="hidden" r:id="rId1"/>
    <sheet name="титул" sheetId="2" r:id="rId2"/>
    <sheet name="2009" sheetId="3" state="hidden" r:id="rId3"/>
    <sheet name="О поступлении денежных средств" sheetId="4" r:id="rId4"/>
    <sheet name="Задолженность нежилой фонт" sheetId="5" state="hidden" r:id="rId5"/>
    <sheet name="Задолженность нежилой фонд" sheetId="6" r:id="rId6"/>
    <sheet name="Справка о тарифах" sheetId="7" r:id="rId7"/>
    <sheet name="Лист5" sheetId="8" state="hidden" r:id="rId8"/>
    <sheet name="НП" sheetId="9" r:id="rId9"/>
  </sheets>
  <definedNames/>
  <calcPr fullCalcOnLoad="1"/>
</workbook>
</file>

<file path=xl/comments3.xml><?xml version="1.0" encoding="utf-8"?>
<comments xmlns="http://schemas.openxmlformats.org/spreadsheetml/2006/main">
  <authors>
    <author>Infraware Corporation</author>
  </authors>
  <commentList>
    <comment ref="R10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2095*4мес=8380
2280*8мес=18240
Всего:26620</t>
        </r>
      </text>
    </comment>
    <comment ref="R11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<sst xmlns="http://schemas.openxmlformats.org/spreadsheetml/2006/main" count="596" uniqueCount="258">
  <si>
    <t>Наименование ТСЖ  : Пулковский Меридиан</t>
  </si>
  <si>
    <t>ТСЖ "7-я Красноармейская д.18</t>
  </si>
  <si>
    <t>ООО "УК "Петербургский Дом"</t>
  </si>
  <si>
    <t>Адрес:  С-Петербург, Дунайский пр. д.3.к.2</t>
  </si>
  <si>
    <t>Санкт-Петербург,7-я Красноармейская д.18</t>
  </si>
  <si>
    <t xml:space="preserve">                      ТАБЛИЦА  СТАВОК  И  УСЛУГ</t>
  </si>
  <si>
    <t xml:space="preserve">                      с  01  сентября 2009 года по 31декабря 2009 года</t>
  </si>
  <si>
    <t>Общая площадь дома  ( этажей)</t>
  </si>
  <si>
    <t>м2                    2900</t>
  </si>
  <si>
    <t>Проживает  (чел)</t>
  </si>
  <si>
    <t xml:space="preserve">отапливаемая площадь </t>
  </si>
  <si>
    <t>м2</t>
  </si>
  <si>
    <t>Количество квартир</t>
  </si>
  <si>
    <t>Прописано (чел)</t>
  </si>
  <si>
    <t>Нежилые помещения</t>
  </si>
  <si>
    <t xml:space="preserve">№ </t>
  </si>
  <si>
    <t>Наименование  услуги</t>
  </si>
  <si>
    <t>Тариф</t>
  </si>
  <si>
    <t>Вид  начисления</t>
  </si>
  <si>
    <t xml:space="preserve">Начисляется </t>
  </si>
  <si>
    <t>п/п</t>
  </si>
  <si>
    <t>в руб.</t>
  </si>
  <si>
    <t>(кв.м., чел., кв-ра)</t>
  </si>
  <si>
    <t>в месяц</t>
  </si>
  <si>
    <t xml:space="preserve">поставщик </t>
  </si>
  <si>
    <t xml:space="preserve">жилые и </t>
  </si>
  <si>
    <t>жилые помещ</t>
  </si>
  <si>
    <t>услуги</t>
  </si>
  <si>
    <t>нежилые</t>
  </si>
  <si>
    <t>Содержание  общего  имущества</t>
  </si>
  <si>
    <t>многоквартирного  дома</t>
  </si>
  <si>
    <t>с общей площади</t>
  </si>
  <si>
    <t>Текущий  ремонт общего имущества</t>
  </si>
  <si>
    <t>многоквартирных домов</t>
  </si>
  <si>
    <t>Содержание  придомовой  территории</t>
  </si>
  <si>
    <t>Очистка  мусоропроводов</t>
  </si>
  <si>
    <t>Уборка  лестничных  клеток</t>
  </si>
  <si>
    <t>нет</t>
  </si>
  <si>
    <t>Вывоз  твердых бытовых отходов</t>
  </si>
  <si>
    <t>Техническое обслуживание   и  ремонт лифтов</t>
  </si>
  <si>
    <t>с общей площади*</t>
  </si>
  <si>
    <t>Содержание  и ремонт ПЗУ</t>
  </si>
  <si>
    <t>с квартиры</t>
  </si>
  <si>
    <t>Холодное  водоснабжение и канализация</t>
  </si>
  <si>
    <t>с человека</t>
  </si>
  <si>
    <t>счетчики</t>
  </si>
  <si>
    <t>м3</t>
  </si>
  <si>
    <t>горячее водоснабжение</t>
  </si>
  <si>
    <t>Отопление</t>
  </si>
  <si>
    <t>Газ</t>
  </si>
  <si>
    <t>Радио</t>
  </si>
  <si>
    <t>Телетрансляция</t>
  </si>
  <si>
    <t>За банковское обслуживание</t>
  </si>
  <si>
    <t>На содержание ТСЖ</t>
  </si>
  <si>
    <t>Управленческие расходы</t>
  </si>
  <si>
    <t>На  капитальный  ремонт  здания</t>
  </si>
  <si>
    <t>Услуги ВЦКП</t>
  </si>
  <si>
    <t>ООО "УК "Петербургский Дом"  ___________________  Васильева И.Х.</t>
  </si>
  <si>
    <t>Общая  полезная площадь дома,  м2</t>
  </si>
  <si>
    <t>Наименование ТСЖ  : "7 Рота"</t>
  </si>
  <si>
    <t>Адрес: 7 Красноармейская ул.д.18</t>
  </si>
  <si>
    <t>СМЕТА доходов и расходов с 01.09.09г. по 28.02.2010г.</t>
  </si>
  <si>
    <t>Общая площадь дома  (этажей)</t>
  </si>
  <si>
    <t>Проживает</t>
  </si>
  <si>
    <t xml:space="preserve">Начислено </t>
  </si>
  <si>
    <t>Поставщики</t>
  </si>
  <si>
    <t>№</t>
  </si>
  <si>
    <t>Услуги</t>
  </si>
  <si>
    <t xml:space="preserve">Услуги </t>
  </si>
  <si>
    <t>Разница</t>
  </si>
  <si>
    <t xml:space="preserve">в 2009г </t>
  </si>
  <si>
    <t>в 2010г.</t>
  </si>
  <si>
    <t>услуг</t>
  </si>
  <si>
    <t>договора</t>
  </si>
  <si>
    <t>поставщиков</t>
  </si>
  <si>
    <t>поставщика</t>
  </si>
  <si>
    <t>с 01.09.09</t>
  </si>
  <si>
    <t>с 01.01.10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</si>
  <si>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</si>
  <si>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</si>
  <si>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</si>
  <si>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</si>
  <si>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</si>
  <si>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</si>
  <si>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</si>
  <si>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.</t>
  </si>
  <si>
    <t>по договорам</t>
  </si>
  <si>
    <t>за период</t>
  </si>
  <si>
    <t>планово</t>
  </si>
  <si>
    <t>ВЦКП</t>
  </si>
  <si>
    <t>отчета</t>
  </si>
  <si>
    <t>УК "ПД"</t>
  </si>
  <si>
    <t>с общей пл.</t>
  </si>
  <si>
    <t>от 01.09.2009</t>
  </si>
  <si>
    <t>Содержание и ремонт сист.газосн.</t>
  </si>
  <si>
    <t>ООО"ПетербургГаз"</t>
  </si>
  <si>
    <t>№1.ВД.00744</t>
  </si>
  <si>
    <t>от 01.01.2009</t>
  </si>
  <si>
    <t>в стадии заключения</t>
  </si>
  <si>
    <t>накопленные средства</t>
  </si>
  <si>
    <t>Содержание и ремонт лифтов</t>
  </si>
  <si>
    <t>1 парадная</t>
  </si>
  <si>
    <t>ООО"ОТИС Лифт"</t>
  </si>
  <si>
    <t>№2166</t>
  </si>
  <si>
    <t>ПЗУ</t>
  </si>
  <si>
    <t>ООО"Конфидент-Сервис"</t>
  </si>
  <si>
    <t>Управление м\к домом</t>
  </si>
  <si>
    <t>ВСЕГО ао Жилищным услугам</t>
  </si>
  <si>
    <t>Холодное водоснабжение</t>
  </si>
  <si>
    <t>11.14/199.86</t>
  </si>
  <si>
    <t>13.15/235.90</t>
  </si>
  <si>
    <t>за куб./1 чел</t>
  </si>
  <si>
    <t>ГУП "Водоканал СПб"</t>
  </si>
  <si>
    <t xml:space="preserve">07-68483/10-ЖК </t>
  </si>
  <si>
    <t>Канализование холодной воды</t>
  </si>
  <si>
    <t>за куб.</t>
  </si>
  <si>
    <t>Канализование горячей воды</t>
  </si>
  <si>
    <t>Горячее водоснабжение</t>
  </si>
  <si>
    <t>47.74/217.69</t>
  </si>
  <si>
    <t>55.86/254.72</t>
  </si>
  <si>
    <t>ОАО "ТГК №1"</t>
  </si>
  <si>
    <t>№7922</t>
  </si>
  <si>
    <t>без февраля</t>
  </si>
  <si>
    <t>за 1 чел.</t>
  </si>
  <si>
    <t>ООО"Петербургрегионгаз"</t>
  </si>
  <si>
    <t>Электроснабжение МОП</t>
  </si>
  <si>
    <t>ИТОГО:</t>
  </si>
  <si>
    <t xml:space="preserve"> </t>
  </si>
  <si>
    <t>ТСЖ "7-я Рота"  ___________________  Семенова Т.А.</t>
  </si>
  <si>
    <t>Генеральный директор ООО "УК "Петербургский Дом"</t>
  </si>
  <si>
    <t>Васильева И.Х.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</si>
  <si>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</si>
  <si>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</si>
  <si>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</si>
  <si>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</si>
  <si>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t>Электроснабжение МОП не начислялось.  ЖКС №1 выставлены счета с опозданием за период с 01.09.2009 по 31.01.2010 на сумму 70375.22</t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</si>
  <si>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</si>
  <si>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</si>
  <si>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</si>
  <si>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</si>
  <si>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</si>
  <si>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</si>
  <si>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</si>
  <si>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</si>
  <si>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 xml:space="preserve">Общая площадь </t>
  </si>
  <si>
    <t>начислено за отчетный период</t>
  </si>
  <si>
    <t>21.64/23.80</t>
  </si>
  <si>
    <t>9746.66/10719.52</t>
  </si>
  <si>
    <t>Отчет по смете доходов и расходов за  2015 год</t>
  </si>
  <si>
    <t>Тарифы</t>
  </si>
  <si>
    <t>Начисления</t>
  </si>
  <si>
    <t>Поступления</t>
  </si>
  <si>
    <t>Задолженность</t>
  </si>
  <si>
    <t>Всего</t>
  </si>
  <si>
    <t>Общая</t>
  </si>
  <si>
    <t>для населения</t>
  </si>
  <si>
    <t>Жилой фонд</t>
  </si>
  <si>
    <t>поставщикам</t>
  </si>
  <si>
    <t>с 01.01.2015</t>
  </si>
  <si>
    <t>с 01.07.2015</t>
  </si>
  <si>
    <t>руб.</t>
  </si>
  <si>
    <t>руб./ м.кв.</t>
  </si>
  <si>
    <t>коп./ м.кв.</t>
  </si>
  <si>
    <t>отчета, руб.</t>
  </si>
  <si>
    <t xml:space="preserve"> Итого по всемжилищным услугам</t>
  </si>
  <si>
    <t>УК "Петербургский дом", ООО "Мехуборка"</t>
  </si>
  <si>
    <t>Содержание  общего  имущества многоквартирного дома, в т.ч.</t>
  </si>
  <si>
    <t>1.1</t>
  </si>
  <si>
    <t>Обеспечение надежности и безопасности МКД, обеспечение надежностикоммуникаций,приборов учета и другогооборудования, осмотробщего имущества</t>
  </si>
  <si>
    <t>УК "Петербургский дом</t>
  </si>
  <si>
    <t>1.2</t>
  </si>
  <si>
    <t>Уборка лестничных клеток</t>
  </si>
  <si>
    <t>1.3</t>
  </si>
  <si>
    <t>Вывоз и утилизация твердых бытовых отходов</t>
  </si>
  <si>
    <t>ООО "Мехуборка"</t>
  </si>
  <si>
    <t>1.4</t>
  </si>
  <si>
    <t>Очистка кровли от наледи и снега</t>
  </si>
  <si>
    <t>Эксплуатация коллективных ПУ</t>
  </si>
  <si>
    <t>УК "Петербургский дом", ООО "БСТ"</t>
  </si>
  <si>
    <t>Текущий  ремонт общего имущества многоквартирного дома</t>
  </si>
  <si>
    <t>УК "Петербургский дом"</t>
  </si>
  <si>
    <t>Целевой взнос на текущий  ремонт общего имущества многоквартирного дома</t>
  </si>
  <si>
    <t>Уборка и санитарная очистка земельного участка</t>
  </si>
  <si>
    <t>ПЗУ, в данную статью входят затраты на обслуживание домофонов.</t>
  </si>
  <si>
    <t>ООО "Компания АНБС"</t>
  </si>
  <si>
    <t>Сод.и текущий ремонт систем газоснабжения</t>
  </si>
  <si>
    <t>ООО "Петербург Газ"</t>
  </si>
  <si>
    <t xml:space="preserve">Взнос на капитальный ремонт </t>
  </si>
  <si>
    <t>Региональный оператор по кап.ремонту</t>
  </si>
  <si>
    <t>Управление м\к домовязанные с деятельностью</t>
  </si>
  <si>
    <t>ВСЕГО по Жилищным услугам</t>
  </si>
  <si>
    <t>руб.\ед. услуги</t>
  </si>
  <si>
    <t>Холодное водоснабжение, м.куб.</t>
  </si>
  <si>
    <t xml:space="preserve"> ГУП "Водоканал Санкт-Петербурга"</t>
  </si>
  <si>
    <t>Водоотведение, м. куб</t>
  </si>
  <si>
    <t>Электроснабжение МОП, кВт\ч</t>
  </si>
  <si>
    <t>3.91/2.30</t>
  </si>
  <si>
    <t xml:space="preserve"> АО "ПСК"</t>
  </si>
  <si>
    <t>Отопление руб/Гкал</t>
  </si>
  <si>
    <t>ОАО "ТГК-1"</t>
  </si>
  <si>
    <t>ВСЕГО по Коммунальным услугам</t>
  </si>
  <si>
    <t>Задолженность ООО "Жилкомсервис №1 Адмиралтейского района" за услуги теплоснабжения многоквартирногодома по адресу 7-я Красноармейская ул. 7/16, подключенного через тепловой узел дома, составляет: 1 628 502, 60 рублей.</t>
  </si>
  <si>
    <t>ООО "ПетербургГаз"</t>
  </si>
  <si>
    <t xml:space="preserve"> (в т.ч. обслуживание ВЦКП,  бухгалтерское сопровождение начисления квартплаты,  сдача налоговой отчетности ТСЖ "7-я Рота" )</t>
  </si>
  <si>
    <t>N пп</t>
  </si>
  <si>
    <t>Наименование услуги (работы)</t>
  </si>
  <si>
    <t>За 1 кв. м общей площади жилого помещения, руб. в месяц</t>
  </si>
  <si>
    <t>Управление многоквартирным домом</t>
  </si>
  <si>
    <t>Содержание общего имущества в многоквартирном доме в том числе:</t>
  </si>
  <si>
    <t>2.1.</t>
  </si>
  <si>
    <t>Обеспечение надежности и безопасности многоквартирного дома; обеспечение постоянной готовности инженерных коммуникаций, приборов учета и другого оборудования; осмотр общего имущества, в том числе:</t>
  </si>
  <si>
    <t>2.1.1.</t>
  </si>
  <si>
    <t>Технические осмотры</t>
  </si>
  <si>
    <t>0.39</t>
  </si>
  <si>
    <t>2.1.2.</t>
  </si>
  <si>
    <t>Замер сопротивления изоляции проводов, обслуживание объединенных диспетчерских систем, проверка монометров, счетчиков и др. работы</t>
  </si>
  <si>
    <t>2.1.3.</t>
  </si>
  <si>
    <t>Услуги аварийного обслуживания</t>
  </si>
  <si>
    <t>2.1.4.</t>
  </si>
  <si>
    <t>Работы по подготовке домов к сезонной эксплуатации</t>
  </si>
  <si>
    <t>2.1.5.</t>
  </si>
  <si>
    <t>Услуги по дератизации</t>
  </si>
  <si>
    <t>2.1.6.</t>
  </si>
  <si>
    <t>Услуги по обследованию аварийных квартир, технической инвентаризации, техническому обслуживанию узлов учета, транспортные расходы по обслуживанию домовладений</t>
  </si>
  <si>
    <t>2.2.</t>
  </si>
  <si>
    <t>2.3.</t>
  </si>
  <si>
    <t>Вывоз твердых бытовых отходов, в том числе утилизация</t>
  </si>
  <si>
    <t>2.4.</t>
  </si>
  <si>
    <t>Очистка кровли от наледи и уборка снега</t>
  </si>
  <si>
    <t xml:space="preserve">Текущий ремонт общего имущества в многоквартирном доме, в том числе ремонт сантехнического оборудования, лестничных клеток, узлов, фасадные работы </t>
  </si>
  <si>
    <t>Уборка и санитарно-гигиеническая очистка земельного участка, входящего в состав общего имущества, содержание и уход за элементами озеленения, находящимися на земельном участке, входящем в состав общего имущества, а также иными объектами, расположенными на</t>
  </si>
  <si>
    <t>Очистка мусоропроводов (при наличии в составе общего имущества в многоквартирном доме)</t>
  </si>
  <si>
    <t>Содержание и ремонт переговорно-замочного устройства (автоматически запирающегося устройства двери подъезда) (при наличии в составе общего имущества в многоквартирном доме)</t>
  </si>
  <si>
    <t>Содержание и ремонт систем автоматизированной противопожарной защиты (при наличии в составе общего имущества в многоквартирном доме)</t>
  </si>
  <si>
    <t>Содержание и текущий ремонт внутридомовых инженерных систем газоснабжения (при наличии в составе общего имущества в многоквартирном доме)</t>
  </si>
  <si>
    <t>Эксплуатация коллективных (общедомовых) приборов учета используемых энергетических ресурсов (при наличии в составе общего имущества в многоквартирном доме).</t>
  </si>
  <si>
    <t>Горячее водоснабжение, м куб.</t>
  </si>
  <si>
    <t>3.55/2.14</t>
  </si>
  <si>
    <t>ООО "Экопром"</t>
  </si>
  <si>
    <t>Площадь жилая</t>
  </si>
  <si>
    <t>Площадь нежилая</t>
  </si>
  <si>
    <t xml:space="preserve">Задолженность </t>
  </si>
  <si>
    <t>Задолженность общая</t>
  </si>
  <si>
    <t>Справочно</t>
  </si>
  <si>
    <t>Задолженность жилого и нежилого фонда  2015 год</t>
  </si>
  <si>
    <t xml:space="preserve">Справка о тарифах на  </t>
  </si>
  <si>
    <t>Управление МКД (в т.ч. обслуживание ВЦКП по адресу: ул. Егорова, д. 16 )</t>
  </si>
  <si>
    <t>Бегун</t>
  </si>
  <si>
    <t>Кирюхин</t>
  </si>
  <si>
    <t>Виселицкий</t>
  </si>
  <si>
    <t>Казарян</t>
  </si>
  <si>
    <t>Начислено всего</t>
  </si>
  <si>
    <t>поступило всего</t>
  </si>
  <si>
    <t>Обеспечение надежности и безопасности МКД, обеспечение надежностикоммуникаций,приборов учета и другогооборудования, осмотр общего имущества</t>
  </si>
  <si>
    <t>Управление МКД</t>
  </si>
  <si>
    <t>СМЕТА доходов и расходов за период май - декабрь 2015 года</t>
  </si>
  <si>
    <t>Адрес: ул. 5-я Красноармейская д.20</t>
  </si>
  <si>
    <t>Наименование: ТСЖ "5-я Красноармейская 20"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</si>
</sst>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-* #,##0.0_р_._-;\-* #,##0.0_р_._-;_-* &quot;-&quot;??_р_._-;_-@_-"/>
    <numFmt numFmtId="169" formatCode="_-* #,##0_р_._-;\-* #,##0_р_._-;_-* &quot;-&quot;??_р_._-;_-@_-"/>
    <numFmt numFmtId="170" formatCode="#,##0.00_ ;\-#,##0.00\ "/>
    <numFmt numFmtId="171" formatCode="#,##0_ ;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mmmm\ yyyy;@"/>
  </numFmts>
  <fonts count="77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u val="single"/>
      <sz val="11"/>
      <name val="Arial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i/>
      <u val="single"/>
      <sz val="8"/>
      <name val="Arial"/>
      <family val="0"/>
    </font>
    <font>
      <u val="single"/>
      <sz val="9"/>
      <name val="Arial Cyr"/>
      <family val="0"/>
    </font>
    <font>
      <i/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sz val="14"/>
      <name val="Arial Cyr"/>
      <family val="0"/>
    </font>
    <font>
      <b/>
      <sz val="14"/>
      <name val="Arial"/>
      <family val="0"/>
    </font>
    <font>
      <b/>
      <u val="single"/>
      <sz val="20"/>
      <name val="Arial"/>
      <family val="0"/>
    </font>
    <font>
      <b/>
      <u val="single"/>
      <sz val="16"/>
      <name val="Arial Cyr"/>
      <family val="0"/>
    </font>
    <font>
      <sz val="16"/>
      <name val="Arial"/>
      <family val="0"/>
    </font>
    <font>
      <sz val="12"/>
      <name val="Times New Roman"/>
      <family val="0"/>
    </font>
    <font>
      <sz val="16"/>
      <name val="Arial Cyr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0"/>
      <color indexed="9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34" fillId="34" borderId="0" applyNumberFormat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75" fillId="37" borderId="0" applyNumberFormat="0" applyBorder="0" applyAlignment="0" applyProtection="0"/>
  </cellStyleXfs>
  <cellXfs count="5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1" fontId="1" fillId="0" borderId="26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7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7" fillId="0" borderId="0" xfId="0" applyNumberFormat="1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 horizontal="left"/>
    </xf>
    <xf numFmtId="169" fontId="7" fillId="0" borderId="0" xfId="0" applyNumberFormat="1" applyFont="1" applyAlignment="1">
      <alignment horizontal="lef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35" xfId="0" applyFont="1" applyBorder="1" applyAlignment="1">
      <alignment/>
    </xf>
    <xf numFmtId="43" fontId="10" fillId="0" borderId="36" xfId="0" applyNumberFormat="1" applyFont="1" applyBorder="1" applyAlignment="1">
      <alignment/>
    </xf>
    <xf numFmtId="43" fontId="10" fillId="0" borderId="37" xfId="0" applyNumberFormat="1" applyFont="1" applyBorder="1" applyAlignment="1">
      <alignment/>
    </xf>
    <xf numFmtId="43" fontId="11" fillId="0" borderId="37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43" fontId="11" fillId="0" borderId="39" xfId="0" applyNumberFormat="1" applyFont="1" applyBorder="1" applyAlignment="1">
      <alignment/>
    </xf>
    <xf numFmtId="43" fontId="11" fillId="0" borderId="40" xfId="0" applyNumberFormat="1" applyFont="1" applyBorder="1" applyAlignment="1">
      <alignment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 horizontal="left"/>
    </xf>
    <xf numFmtId="43" fontId="11" fillId="0" borderId="0" xfId="0" applyNumberFormat="1" applyFont="1" applyAlignment="1">
      <alignment horizontal="left"/>
    </xf>
    <xf numFmtId="43" fontId="11" fillId="0" borderId="0" xfId="0" applyNumberFormat="1" applyFont="1" applyAlignment="1">
      <alignment/>
    </xf>
    <xf numFmtId="169" fontId="1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43" fontId="10" fillId="0" borderId="43" xfId="0" applyNumberFormat="1" applyFont="1" applyBorder="1" applyAlignment="1">
      <alignment/>
    </xf>
    <xf numFmtId="43" fontId="11" fillId="0" borderId="43" xfId="0" applyNumberFormat="1" applyFont="1" applyBorder="1" applyAlignment="1">
      <alignment/>
    </xf>
    <xf numFmtId="0" fontId="10" fillId="0" borderId="44" xfId="0" applyFont="1" applyBorder="1" applyAlignment="1">
      <alignment/>
    </xf>
    <xf numFmtId="43" fontId="10" fillId="0" borderId="45" xfId="0" applyNumberFormat="1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7" xfId="0" applyFont="1" applyBorder="1" applyAlignment="1">
      <alignment/>
    </xf>
    <xf numFmtId="43" fontId="10" fillId="0" borderId="27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7" xfId="0" applyFont="1" applyBorder="1" applyAlignment="1">
      <alignment/>
    </xf>
    <xf numFmtId="43" fontId="10" fillId="0" borderId="48" xfId="0" applyNumberFormat="1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30" xfId="0" applyFont="1" applyBorder="1" applyAlignment="1">
      <alignment/>
    </xf>
    <xf numFmtId="43" fontId="10" fillId="0" borderId="30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0" fontId="11" fillId="0" borderId="28" xfId="0" applyFont="1" applyBorder="1" applyAlignment="1">
      <alignment/>
    </xf>
    <xf numFmtId="43" fontId="10" fillId="0" borderId="52" xfId="0" applyNumberFormat="1" applyFont="1" applyBorder="1" applyAlignment="1">
      <alignment/>
    </xf>
    <xf numFmtId="0" fontId="11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1" fillId="0" borderId="23" xfId="0" applyFont="1" applyBorder="1" applyAlignment="1">
      <alignment/>
    </xf>
    <xf numFmtId="43" fontId="11" fillId="0" borderId="23" xfId="0" applyNumberFormat="1" applyFont="1" applyBorder="1" applyAlignment="1">
      <alignment/>
    </xf>
    <xf numFmtId="43" fontId="10" fillId="0" borderId="23" xfId="0" applyNumberFormat="1" applyFont="1" applyBorder="1" applyAlignment="1">
      <alignment/>
    </xf>
    <xf numFmtId="0" fontId="11" fillId="0" borderId="21" xfId="0" applyFont="1" applyBorder="1" applyAlignment="1">
      <alignment/>
    </xf>
    <xf numFmtId="43" fontId="11" fillId="0" borderId="24" xfId="0" applyNumberFormat="1" applyFont="1" applyBorder="1" applyAlignment="1">
      <alignment/>
    </xf>
    <xf numFmtId="0" fontId="10" fillId="0" borderId="55" xfId="0" applyFont="1" applyBorder="1" applyAlignment="1">
      <alignment/>
    </xf>
    <xf numFmtId="43" fontId="8" fillId="0" borderId="27" xfId="0" applyNumberFormat="1" applyFont="1" applyBorder="1" applyAlignment="1">
      <alignment/>
    </xf>
    <xf numFmtId="43" fontId="11" fillId="0" borderId="48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0" fillId="0" borderId="19" xfId="0" applyNumberFormat="1" applyFont="1" applyBorder="1" applyAlignment="1">
      <alignment/>
    </xf>
    <xf numFmtId="0" fontId="11" fillId="0" borderId="17" xfId="0" applyFont="1" applyBorder="1" applyAlignment="1">
      <alignment/>
    </xf>
    <xf numFmtId="43" fontId="11" fillId="0" borderId="20" xfId="0" applyNumberFormat="1" applyFont="1" applyBorder="1" applyAlignment="1">
      <alignment/>
    </xf>
    <xf numFmtId="0" fontId="11" fillId="0" borderId="40" xfId="0" applyFont="1" applyBorder="1" applyAlignment="1">
      <alignment/>
    </xf>
    <xf numFmtId="43" fontId="10" fillId="0" borderId="19" xfId="0" applyNumberFormat="1" applyFont="1" applyBorder="1" applyAlignment="1">
      <alignment/>
    </xf>
    <xf numFmtId="0" fontId="10" fillId="0" borderId="56" xfId="0" applyFont="1" applyBorder="1" applyAlignment="1">
      <alignment/>
    </xf>
    <xf numFmtId="43" fontId="11" fillId="0" borderId="57" xfId="0" applyNumberFormat="1" applyFont="1" applyBorder="1" applyAlignment="1">
      <alignment/>
    </xf>
    <xf numFmtId="0" fontId="11" fillId="0" borderId="58" xfId="0" applyFont="1" applyBorder="1" applyAlignment="1">
      <alignment/>
    </xf>
    <xf numFmtId="43" fontId="10" fillId="0" borderId="58" xfId="0" applyNumberFormat="1" applyFont="1" applyBorder="1" applyAlignment="1">
      <alignment/>
    </xf>
    <xf numFmtId="43" fontId="11" fillId="0" borderId="58" xfId="0" applyNumberFormat="1" applyFont="1" applyBorder="1" applyAlignment="1">
      <alignment/>
    </xf>
    <xf numFmtId="0" fontId="11" fillId="0" borderId="59" xfId="0" applyFont="1" applyBorder="1" applyAlignment="1">
      <alignment/>
    </xf>
    <xf numFmtId="43" fontId="10" fillId="0" borderId="60" xfId="0" applyNumberFormat="1" applyFont="1" applyBorder="1" applyAlignment="1">
      <alignment/>
    </xf>
    <xf numFmtId="0" fontId="10" fillId="0" borderId="61" xfId="0" applyFont="1" applyBorder="1" applyAlignment="1">
      <alignment/>
    </xf>
    <xf numFmtId="0" fontId="11" fillId="0" borderId="55" xfId="0" applyFont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43" fontId="11" fillId="0" borderId="60" xfId="0" applyNumberFormat="1" applyFont="1" applyBorder="1" applyAlignment="1">
      <alignment/>
    </xf>
    <xf numFmtId="0" fontId="13" fillId="0" borderId="0" xfId="0" applyFont="1" applyAlignment="1">
      <alignment/>
    </xf>
    <xf numFmtId="43" fontId="10" fillId="0" borderId="61" xfId="0" applyNumberFormat="1" applyFont="1" applyBorder="1" applyAlignment="1">
      <alignment/>
    </xf>
    <xf numFmtId="0" fontId="8" fillId="0" borderId="42" xfId="0" applyFont="1" applyBorder="1" applyAlignment="1">
      <alignment/>
    </xf>
    <xf numFmtId="43" fontId="11" fillId="0" borderId="36" xfId="0" applyNumberFormat="1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43" fontId="11" fillId="0" borderId="45" xfId="0" applyNumberFormat="1" applyFont="1" applyBorder="1" applyAlignment="1">
      <alignment/>
    </xf>
    <xf numFmtId="43" fontId="11" fillId="0" borderId="46" xfId="0" applyNumberFormat="1" applyFont="1" applyBorder="1" applyAlignment="1">
      <alignment/>
    </xf>
    <xf numFmtId="0" fontId="8" fillId="0" borderId="51" xfId="0" applyFont="1" applyBorder="1" applyAlignment="1">
      <alignment/>
    </xf>
    <xf numFmtId="43" fontId="8" fillId="0" borderId="30" xfId="0" applyNumberFormat="1" applyFont="1" applyBorder="1" applyAlignment="1">
      <alignment/>
    </xf>
    <xf numFmtId="43" fontId="11" fillId="0" borderId="52" xfId="0" applyNumberFormat="1" applyFont="1" applyBorder="1" applyAlignment="1">
      <alignment/>
    </xf>
    <xf numFmtId="14" fontId="11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43" fontId="12" fillId="0" borderId="27" xfId="0" applyNumberFormat="1" applyFont="1" applyBorder="1" applyAlignment="1">
      <alignment/>
    </xf>
    <xf numFmtId="43" fontId="12" fillId="0" borderId="37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43" fontId="0" fillId="0" borderId="62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0" fontId="0" fillId="0" borderId="40" xfId="0" applyBorder="1" applyAlignment="1">
      <alignment/>
    </xf>
    <xf numFmtId="43" fontId="0" fillId="0" borderId="63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64" xfId="0" applyBorder="1" applyAlignment="1">
      <alignment/>
    </xf>
    <xf numFmtId="43" fontId="0" fillId="0" borderId="54" xfId="0" applyNumberFormat="1" applyFont="1" applyBorder="1" applyAlignment="1">
      <alignment/>
    </xf>
    <xf numFmtId="43" fontId="0" fillId="0" borderId="22" xfId="0" applyNumberFormat="1" applyFont="1" applyBorder="1" applyAlignment="1">
      <alignment/>
    </xf>
    <xf numFmtId="0" fontId="0" fillId="0" borderId="39" xfId="0" applyBorder="1" applyAlignment="1">
      <alignment/>
    </xf>
    <xf numFmtId="0" fontId="8" fillId="0" borderId="41" xfId="0" applyFont="1" applyBorder="1" applyAlignment="1">
      <alignment/>
    </xf>
    <xf numFmtId="0" fontId="8" fillId="0" borderId="50" xfId="0" applyFont="1" applyBorder="1" applyAlignment="1">
      <alignment/>
    </xf>
    <xf numFmtId="0" fontId="15" fillId="0" borderId="0" xfId="0" applyFont="1" applyAlignment="1">
      <alignment/>
    </xf>
    <xf numFmtId="4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3" fontId="15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3" fontId="0" fillId="0" borderId="10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0" fontId="0" fillId="0" borderId="65" xfId="0" applyBorder="1" applyAlignment="1">
      <alignment/>
    </xf>
    <xf numFmtId="43" fontId="0" fillId="0" borderId="66" xfId="0" applyNumberFormat="1" applyFont="1" applyBorder="1" applyAlignment="1">
      <alignment/>
    </xf>
    <xf numFmtId="43" fontId="0" fillId="0" borderId="67" xfId="0" applyNumberFormat="1" applyFont="1" applyBorder="1" applyAlignment="1">
      <alignment/>
    </xf>
    <xf numFmtId="43" fontId="0" fillId="0" borderId="68" xfId="0" applyNumberFormat="1" applyFont="1" applyBorder="1" applyAlignment="1">
      <alignment/>
    </xf>
    <xf numFmtId="0" fontId="0" fillId="0" borderId="69" xfId="0" applyBorder="1" applyAlignment="1">
      <alignment/>
    </xf>
    <xf numFmtId="43" fontId="0" fillId="0" borderId="70" xfId="0" applyNumberFormat="1" applyFont="1" applyBorder="1" applyAlignment="1">
      <alignment/>
    </xf>
    <xf numFmtId="0" fontId="8" fillId="0" borderId="71" xfId="0" applyFont="1" applyBorder="1" applyAlignment="1">
      <alignment/>
    </xf>
    <xf numFmtId="43" fontId="0" fillId="0" borderId="58" xfId="0" applyNumberFormat="1" applyFont="1" applyBorder="1" applyAlignment="1">
      <alignment/>
    </xf>
    <xf numFmtId="43" fontId="0" fillId="0" borderId="72" xfId="0" applyNumberFormat="1" applyFont="1" applyBorder="1" applyAlignment="1">
      <alignment/>
    </xf>
    <xf numFmtId="0" fontId="0" fillId="0" borderId="72" xfId="0" applyBorder="1" applyAlignment="1">
      <alignment/>
    </xf>
    <xf numFmtId="43" fontId="0" fillId="0" borderId="61" xfId="0" applyNumberFormat="1" applyFont="1" applyBorder="1" applyAlignment="1">
      <alignment/>
    </xf>
    <xf numFmtId="0" fontId="17" fillId="0" borderId="73" xfId="0" applyFont="1" applyBorder="1" applyAlignment="1">
      <alignment/>
    </xf>
    <xf numFmtId="43" fontId="0" fillId="0" borderId="63" xfId="0" applyNumberFormat="1" applyFont="1" applyBorder="1" applyAlignment="1">
      <alignment/>
    </xf>
    <xf numFmtId="0" fontId="16" fillId="0" borderId="63" xfId="0" applyFont="1" applyBorder="1" applyAlignment="1">
      <alignment/>
    </xf>
    <xf numFmtId="43" fontId="16" fillId="0" borderId="64" xfId="0" applyNumberFormat="1" applyFont="1" applyBorder="1" applyAlignment="1">
      <alignment/>
    </xf>
    <xf numFmtId="43" fontId="12" fillId="0" borderId="58" xfId="0" applyNumberFormat="1" applyFont="1" applyBorder="1" applyAlignment="1">
      <alignment/>
    </xf>
    <xf numFmtId="43" fontId="12" fillId="0" borderId="72" xfId="0" applyNumberFormat="1" applyFont="1" applyBorder="1" applyAlignment="1">
      <alignment/>
    </xf>
    <xf numFmtId="0" fontId="0" fillId="0" borderId="57" xfId="0" applyBorder="1" applyAlignment="1">
      <alignment/>
    </xf>
    <xf numFmtId="43" fontId="0" fillId="0" borderId="60" xfId="0" applyNumberFormat="1" applyFont="1" applyBorder="1" applyAlignment="1">
      <alignment/>
    </xf>
    <xf numFmtId="43" fontId="5" fillId="0" borderId="0" xfId="0" applyNumberFormat="1" applyFont="1" applyFill="1" applyAlignment="1">
      <alignment/>
    </xf>
    <xf numFmtId="43" fontId="11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43" fontId="22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2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6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3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1" fillId="0" borderId="66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3" fontId="1" fillId="0" borderId="7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7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wrapText="1"/>
    </xf>
    <xf numFmtId="3" fontId="2" fillId="0" borderId="46" xfId="0" applyNumberFormat="1" applyFont="1" applyFill="1" applyBorder="1" applyAlignment="1">
      <alignment horizontal="center"/>
    </xf>
    <xf numFmtId="3" fontId="2" fillId="0" borderId="6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0" fillId="38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2" fontId="2" fillId="0" borderId="27" xfId="0" applyNumberFormat="1" applyFont="1" applyFill="1" applyBorder="1" applyAlignment="1">
      <alignment horizontal="center" vertical="center"/>
    </xf>
    <xf numFmtId="2" fontId="2" fillId="38" borderId="27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/>
    </xf>
    <xf numFmtId="2" fontId="2" fillId="38" borderId="27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/>
    </xf>
    <xf numFmtId="2" fontId="1" fillId="0" borderId="27" xfId="0" applyNumberFormat="1" applyFont="1" applyFill="1" applyBorder="1" applyAlignment="1">
      <alignment horizontal="center" vertical="center"/>
    </xf>
    <xf numFmtId="2" fontId="20" fillId="38" borderId="27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Fill="1" applyBorder="1" applyAlignment="1">
      <alignment horizontal="center" wrapText="1" readingOrder="1"/>
    </xf>
    <xf numFmtId="2" fontId="0" fillId="0" borderId="27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0" fontId="21" fillId="39" borderId="27" xfId="0" applyFont="1" applyFill="1" applyBorder="1" applyAlignment="1">
      <alignment/>
    </xf>
    <xf numFmtId="2" fontId="2" fillId="39" borderId="27" xfId="0" applyNumberFormat="1" applyFont="1" applyFill="1" applyBorder="1" applyAlignment="1">
      <alignment horizontal="center" vertical="center"/>
    </xf>
    <xf numFmtId="2" fontId="2" fillId="39" borderId="27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2" fontId="20" fillId="0" borderId="19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/>
    </xf>
    <xf numFmtId="2" fontId="20" fillId="0" borderId="18" xfId="0" applyNumberFormat="1" applyFon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2" fontId="20" fillId="39" borderId="27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2" fontId="20" fillId="0" borderId="27" xfId="0" applyNumberFormat="1" applyFont="1" applyFill="1" applyBorder="1" applyAlignment="1">
      <alignment horizontal="center" vertical="center" wrapText="1" readingOrder="1"/>
    </xf>
    <xf numFmtId="0" fontId="1" fillId="0" borderId="27" xfId="0" applyFont="1" applyFill="1" applyBorder="1" applyAlignment="1">
      <alignment horizontal="left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wrapText="1"/>
    </xf>
    <xf numFmtId="2" fontId="20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 wrapText="1"/>
    </xf>
    <xf numFmtId="2" fontId="20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 wrapText="1"/>
    </xf>
    <xf numFmtId="2" fontId="1" fillId="0" borderId="27" xfId="0" applyNumberFormat="1" applyFont="1" applyFill="1" applyBorder="1" applyAlignment="1">
      <alignment vertical="center"/>
    </xf>
    <xf numFmtId="0" fontId="1" fillId="39" borderId="27" xfId="0" applyFont="1" applyFill="1" applyBorder="1" applyAlignment="1">
      <alignment/>
    </xf>
    <xf numFmtId="3" fontId="2" fillId="39" borderId="27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1" fillId="0" borderId="27" xfId="0" applyFont="1" applyBorder="1" applyAlignment="1">
      <alignment horizontal="center" vertical="center" wrapText="1"/>
    </xf>
    <xf numFmtId="3" fontId="1" fillId="39" borderId="2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4" fontId="29" fillId="0" borderId="27" xfId="0" applyNumberFormat="1" applyFont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31" fillId="0" borderId="0" xfId="0" applyFont="1" applyFill="1" applyAlignment="1">
      <alignment vertical="top"/>
    </xf>
    <xf numFmtId="3" fontId="31" fillId="0" borderId="0" xfId="0" applyNumberFormat="1" applyFont="1" applyFill="1" applyAlignment="1">
      <alignment horizontal="center" vertical="top"/>
    </xf>
    <xf numFmtId="0" fontId="32" fillId="0" borderId="27" xfId="0" applyFont="1" applyFill="1" applyBorder="1" applyAlignment="1">
      <alignment vertical="top"/>
    </xf>
    <xf numFmtId="2" fontId="32" fillId="38" borderId="27" xfId="0" applyNumberFormat="1" applyFont="1" applyFill="1" applyBorder="1" applyAlignment="1">
      <alignment horizontal="center" vertical="top"/>
    </xf>
    <xf numFmtId="2" fontId="32" fillId="0" borderId="27" xfId="0" applyNumberFormat="1" applyFont="1" applyFill="1" applyBorder="1" applyAlignment="1">
      <alignment horizontal="center" vertical="top"/>
    </xf>
    <xf numFmtId="0" fontId="32" fillId="0" borderId="27" xfId="0" applyFont="1" applyFill="1" applyBorder="1" applyAlignment="1">
      <alignment horizontal="center" vertical="top"/>
    </xf>
    <xf numFmtId="3" fontId="32" fillId="0" borderId="27" xfId="0" applyNumberFormat="1" applyFont="1" applyFill="1" applyBorder="1" applyAlignment="1">
      <alignment horizontal="center" vertical="top"/>
    </xf>
    <xf numFmtId="3" fontId="32" fillId="0" borderId="46" xfId="0" applyNumberFormat="1" applyFont="1" applyFill="1" applyBorder="1" applyAlignment="1">
      <alignment horizontal="center" vertical="top"/>
    </xf>
    <xf numFmtId="0" fontId="31" fillId="0" borderId="27" xfId="0" applyFont="1" applyFill="1" applyBorder="1" applyAlignment="1">
      <alignment vertical="top"/>
    </xf>
    <xf numFmtId="3" fontId="32" fillId="0" borderId="49" xfId="0" applyNumberFormat="1" applyFont="1" applyFill="1" applyBorder="1" applyAlignment="1">
      <alignment horizontal="center" vertical="top"/>
    </xf>
    <xf numFmtId="3" fontId="31" fillId="0" borderId="49" xfId="0" applyNumberFormat="1" applyFont="1" applyFill="1" applyBorder="1" applyAlignment="1">
      <alignment horizontal="center" vertical="top"/>
    </xf>
    <xf numFmtId="2" fontId="31" fillId="0" borderId="27" xfId="0" applyNumberFormat="1" applyFont="1" applyFill="1" applyBorder="1" applyAlignment="1">
      <alignment vertical="top"/>
    </xf>
    <xf numFmtId="3" fontId="31" fillId="0" borderId="53" xfId="0" applyNumberFormat="1" applyFont="1" applyFill="1" applyBorder="1" applyAlignment="1">
      <alignment horizontal="center" vertical="top"/>
    </xf>
    <xf numFmtId="2" fontId="33" fillId="0" borderId="19" xfId="0" applyNumberFormat="1" applyFont="1" applyFill="1" applyBorder="1" applyAlignment="1">
      <alignment horizontal="center" vertical="top"/>
    </xf>
    <xf numFmtId="2" fontId="31" fillId="0" borderId="19" xfId="0" applyNumberFormat="1" applyFont="1" applyFill="1" applyBorder="1" applyAlignment="1">
      <alignment horizontal="center" vertical="top"/>
    </xf>
    <xf numFmtId="3" fontId="31" fillId="0" borderId="19" xfId="0" applyNumberFormat="1" applyFont="1" applyFill="1" applyBorder="1" applyAlignment="1">
      <alignment horizontal="center" vertical="top"/>
    </xf>
    <xf numFmtId="3" fontId="31" fillId="0" borderId="66" xfId="0" applyNumberFormat="1" applyFont="1" applyFill="1" applyBorder="1" applyAlignment="1">
      <alignment horizontal="center" vertical="top"/>
    </xf>
    <xf numFmtId="49" fontId="32" fillId="0" borderId="27" xfId="0" applyNumberFormat="1" applyFont="1" applyFill="1" applyBorder="1" applyAlignment="1">
      <alignment horizontal="center" vertical="top"/>
    </xf>
    <xf numFmtId="3" fontId="31" fillId="0" borderId="74" xfId="0" applyNumberFormat="1" applyFont="1" applyFill="1" applyBorder="1" applyAlignment="1">
      <alignment horizontal="center" vertical="top"/>
    </xf>
    <xf numFmtId="2" fontId="31" fillId="0" borderId="0" xfId="0" applyNumberFormat="1" applyFont="1" applyFill="1" applyAlignment="1">
      <alignment vertical="top"/>
    </xf>
    <xf numFmtId="49" fontId="32" fillId="0" borderId="23" xfId="0" applyNumberFormat="1" applyFont="1" applyFill="1" applyBorder="1" applyAlignment="1">
      <alignment horizontal="center" vertical="top"/>
    </xf>
    <xf numFmtId="3" fontId="31" fillId="0" borderId="70" xfId="0" applyNumberFormat="1" applyFont="1" applyFill="1" applyBorder="1" applyAlignment="1">
      <alignment horizontal="center" vertical="top"/>
    </xf>
    <xf numFmtId="0" fontId="32" fillId="0" borderId="19" xfId="0" applyFont="1" applyFill="1" applyBorder="1" applyAlignment="1">
      <alignment horizontal="center" vertical="top"/>
    </xf>
    <xf numFmtId="3" fontId="31" fillId="0" borderId="46" xfId="0" applyNumberFormat="1" applyFont="1" applyFill="1" applyBorder="1" applyAlignment="1">
      <alignment horizontal="center" vertical="top"/>
    </xf>
    <xf numFmtId="3" fontId="32" fillId="0" borderId="61" xfId="0" applyNumberFormat="1" applyFont="1" applyFill="1" applyBorder="1" applyAlignment="1">
      <alignment horizontal="center" vertical="top"/>
    </xf>
    <xf numFmtId="0" fontId="31" fillId="0" borderId="0" xfId="0" applyNumberFormat="1" applyFont="1" applyFill="1" applyBorder="1" applyAlignment="1">
      <alignment horizontal="right" vertical="top" wrapText="1"/>
    </xf>
    <xf numFmtId="2" fontId="32" fillId="0" borderId="0" xfId="0" applyNumberFormat="1" applyFont="1" applyFill="1" applyBorder="1" applyAlignment="1">
      <alignment horizontal="center" vertical="top"/>
    </xf>
    <xf numFmtId="2" fontId="31" fillId="0" borderId="0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3" fontId="32" fillId="0" borderId="0" xfId="0" applyNumberFormat="1" applyFont="1" applyFill="1" applyBorder="1" applyAlignment="1">
      <alignment horizontal="center" vertical="top"/>
    </xf>
    <xf numFmtId="3" fontId="31" fillId="0" borderId="0" xfId="0" applyNumberFormat="1" applyFont="1" applyFill="1" applyBorder="1" applyAlignment="1">
      <alignment horizontal="center" vertical="top"/>
    </xf>
    <xf numFmtId="2" fontId="31" fillId="0" borderId="0" xfId="0" applyNumberFormat="1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1" fillId="0" borderId="19" xfId="0" applyFont="1" applyFill="1" applyBorder="1" applyAlignment="1">
      <alignment vertical="top"/>
    </xf>
    <xf numFmtId="0" fontId="32" fillId="40" borderId="27" xfId="0" applyFont="1" applyFill="1" applyBorder="1" applyAlignment="1">
      <alignment horizontal="center" vertical="top"/>
    </xf>
    <xf numFmtId="2" fontId="32" fillId="0" borderId="27" xfId="0" applyNumberFormat="1" applyFont="1" applyFill="1" applyBorder="1" applyAlignment="1">
      <alignment horizontal="center" vertical="top"/>
    </xf>
    <xf numFmtId="2" fontId="31" fillId="0" borderId="27" xfId="0" applyNumberFormat="1" applyFont="1" applyFill="1" applyBorder="1" applyAlignment="1">
      <alignment horizontal="center" vertical="top" wrapText="1"/>
    </xf>
    <xf numFmtId="2" fontId="32" fillId="0" borderId="0" xfId="0" applyNumberFormat="1" applyFont="1" applyFill="1" applyBorder="1" applyAlignment="1">
      <alignment horizontal="left" vertical="top" wrapText="1"/>
    </xf>
    <xf numFmtId="0" fontId="31" fillId="0" borderId="19" xfId="0" applyFont="1" applyFill="1" applyBorder="1" applyAlignment="1">
      <alignment vertical="top" wrapText="1"/>
    </xf>
    <xf numFmtId="0" fontId="37" fillId="0" borderId="27" xfId="0" applyFont="1" applyFill="1" applyBorder="1" applyAlignment="1">
      <alignment horizontal="center" vertical="top"/>
    </xf>
    <xf numFmtId="0" fontId="37" fillId="0" borderId="27" xfId="0" applyFont="1" applyFill="1" applyBorder="1" applyAlignment="1">
      <alignment vertical="top"/>
    </xf>
    <xf numFmtId="2" fontId="37" fillId="38" borderId="27" xfId="0" applyNumberFormat="1" applyFont="1" applyFill="1" applyBorder="1" applyAlignment="1">
      <alignment horizontal="center" vertical="top"/>
    </xf>
    <xf numFmtId="2" fontId="37" fillId="0" borderId="27" xfId="0" applyNumberFormat="1" applyFont="1" applyFill="1" applyBorder="1" applyAlignment="1">
      <alignment horizontal="center" vertical="top"/>
    </xf>
    <xf numFmtId="2" fontId="37" fillId="0" borderId="27" xfId="0" applyNumberFormat="1" applyFont="1" applyFill="1" applyBorder="1" applyAlignment="1">
      <alignment horizontal="center" vertical="top" wrapText="1"/>
    </xf>
    <xf numFmtId="3" fontId="37" fillId="0" borderId="27" xfId="0" applyNumberFormat="1" applyFont="1" applyFill="1" applyBorder="1" applyAlignment="1">
      <alignment horizontal="center" vertical="top"/>
    </xf>
    <xf numFmtId="0" fontId="38" fillId="0" borderId="27" xfId="0" applyFont="1" applyFill="1" applyBorder="1" applyAlignment="1">
      <alignment vertical="top"/>
    </xf>
    <xf numFmtId="2" fontId="38" fillId="0" borderId="27" xfId="0" applyNumberFormat="1" applyFont="1" applyFill="1" applyBorder="1" applyAlignment="1">
      <alignment horizontal="center" vertical="top"/>
    </xf>
    <xf numFmtId="0" fontId="37" fillId="0" borderId="19" xfId="0" applyFont="1" applyFill="1" applyBorder="1" applyAlignment="1">
      <alignment horizontal="center" vertical="top"/>
    </xf>
    <xf numFmtId="0" fontId="38" fillId="0" borderId="19" xfId="0" applyFont="1" applyFill="1" applyBorder="1" applyAlignment="1">
      <alignment vertical="top" wrapText="1"/>
    </xf>
    <xf numFmtId="2" fontId="39" fillId="0" borderId="19" xfId="0" applyNumberFormat="1" applyFont="1" applyFill="1" applyBorder="1" applyAlignment="1">
      <alignment horizontal="center" vertical="top"/>
    </xf>
    <xf numFmtId="3" fontId="38" fillId="0" borderId="19" xfId="0" applyNumberFormat="1" applyFont="1" applyFill="1" applyBorder="1" applyAlignment="1">
      <alignment horizontal="center" vertical="top"/>
    </xf>
    <xf numFmtId="49" fontId="37" fillId="0" borderId="27" xfId="0" applyNumberFormat="1" applyFont="1" applyFill="1" applyBorder="1" applyAlignment="1">
      <alignment horizontal="center" vertical="top"/>
    </xf>
    <xf numFmtId="0" fontId="38" fillId="0" borderId="27" xfId="0" applyFont="1" applyFill="1" applyBorder="1" applyAlignment="1">
      <alignment horizontal="left" vertical="top" wrapText="1"/>
    </xf>
    <xf numFmtId="2" fontId="39" fillId="0" borderId="27" xfId="0" applyNumberFormat="1" applyFont="1" applyFill="1" applyBorder="1" applyAlignment="1">
      <alignment horizontal="center" vertical="top"/>
    </xf>
    <xf numFmtId="49" fontId="37" fillId="0" borderId="23" xfId="0" applyNumberFormat="1" applyFont="1" applyFill="1" applyBorder="1" applyAlignment="1">
      <alignment horizontal="center" vertical="top"/>
    </xf>
    <xf numFmtId="0" fontId="38" fillId="0" borderId="27" xfId="0" applyFont="1" applyBorder="1" applyAlignment="1">
      <alignment horizontal="left" vertical="top" wrapText="1"/>
    </xf>
    <xf numFmtId="0" fontId="38" fillId="0" borderId="27" xfId="0" applyFont="1" applyBorder="1" applyAlignment="1">
      <alignment horizontal="center" vertical="top" wrapText="1"/>
    </xf>
    <xf numFmtId="2" fontId="39" fillId="0" borderId="23" xfId="0" applyNumberFormat="1" applyFont="1" applyFill="1" applyBorder="1" applyAlignment="1">
      <alignment horizontal="center" vertical="top"/>
    </xf>
    <xf numFmtId="0" fontId="38" fillId="0" borderId="23" xfId="0" applyFont="1" applyFill="1" applyBorder="1" applyAlignment="1">
      <alignment horizontal="left" vertical="top" wrapText="1"/>
    </xf>
    <xf numFmtId="2" fontId="39" fillId="0" borderId="27" xfId="0" applyNumberFormat="1" applyFont="1" applyFill="1" applyBorder="1" applyAlignment="1">
      <alignment horizontal="center" vertical="top" wrapText="1"/>
    </xf>
    <xf numFmtId="3" fontId="38" fillId="0" borderId="27" xfId="0" applyNumberFormat="1" applyFont="1" applyFill="1" applyBorder="1" applyAlignment="1">
      <alignment horizontal="center" vertical="top"/>
    </xf>
    <xf numFmtId="2" fontId="39" fillId="0" borderId="19" xfId="0" applyNumberFormat="1" applyFont="1" applyFill="1" applyBorder="1" applyAlignment="1">
      <alignment horizontal="center" vertical="top" wrapText="1"/>
    </xf>
    <xf numFmtId="0" fontId="37" fillId="40" borderId="27" xfId="0" applyFont="1" applyFill="1" applyBorder="1" applyAlignment="1">
      <alignment horizontal="center" vertical="top"/>
    </xf>
    <xf numFmtId="0" fontId="38" fillId="40" borderId="27" xfId="0" applyFont="1" applyFill="1" applyBorder="1" applyAlignment="1">
      <alignment vertical="top" wrapText="1"/>
    </xf>
    <xf numFmtId="0" fontId="38" fillId="0" borderId="27" xfId="0" applyFont="1" applyFill="1" applyBorder="1" applyAlignment="1">
      <alignment vertical="top" wrapText="1"/>
    </xf>
    <xf numFmtId="0" fontId="38" fillId="0" borderId="27" xfId="0" applyFont="1" applyFill="1" applyBorder="1" applyAlignment="1">
      <alignment horizontal="left" vertical="top"/>
    </xf>
    <xf numFmtId="2" fontId="38" fillId="0" borderId="27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right"/>
    </xf>
    <xf numFmtId="2" fontId="32" fillId="11" borderId="27" xfId="0" applyNumberFormat="1" applyFont="1" applyFill="1" applyBorder="1" applyAlignment="1">
      <alignment horizontal="center" vertical="top"/>
    </xf>
    <xf numFmtId="2" fontId="33" fillId="11" borderId="19" xfId="0" applyNumberFormat="1" applyFont="1" applyFill="1" applyBorder="1" applyAlignment="1">
      <alignment horizontal="center" vertical="top"/>
    </xf>
    <xf numFmtId="0" fontId="32" fillId="40" borderId="19" xfId="0" applyFont="1" applyFill="1" applyBorder="1" applyAlignment="1">
      <alignment horizontal="center" vertical="top"/>
    </xf>
    <xf numFmtId="3" fontId="39" fillId="0" borderId="19" xfId="0" applyNumberFormat="1" applyFont="1" applyFill="1" applyBorder="1" applyAlignment="1">
      <alignment horizontal="center" vertical="top"/>
    </xf>
    <xf numFmtId="0" fontId="37" fillId="40" borderId="19" xfId="0" applyFont="1" applyFill="1" applyBorder="1" applyAlignment="1">
      <alignment horizontal="center" vertical="top"/>
    </xf>
    <xf numFmtId="0" fontId="38" fillId="40" borderId="19" xfId="0" applyFont="1" applyFill="1" applyBorder="1" applyAlignment="1">
      <alignment horizontal="left" vertical="top" wrapText="1"/>
    </xf>
    <xf numFmtId="0" fontId="38" fillId="0" borderId="0" xfId="0" applyFont="1" applyAlignment="1">
      <alignment/>
    </xf>
    <xf numFmtId="0" fontId="32" fillId="0" borderId="27" xfId="0" applyFont="1" applyFill="1" applyBorder="1" applyAlignment="1">
      <alignment vertical="top"/>
    </xf>
    <xf numFmtId="2" fontId="32" fillId="38" borderId="27" xfId="0" applyNumberFormat="1" applyFont="1" applyFill="1" applyBorder="1" applyAlignment="1">
      <alignment horizontal="center" vertical="top"/>
    </xf>
    <xf numFmtId="2" fontId="32" fillId="11" borderId="27" xfId="0" applyNumberFormat="1" applyFont="1" applyFill="1" applyBorder="1" applyAlignment="1">
      <alignment horizontal="center" vertical="top"/>
    </xf>
    <xf numFmtId="2" fontId="32" fillId="41" borderId="27" xfId="0" applyNumberFormat="1" applyFont="1" applyFill="1" applyBorder="1" applyAlignment="1">
      <alignment horizontal="center" vertical="top"/>
    </xf>
    <xf numFmtId="2" fontId="32" fillId="42" borderId="27" xfId="0" applyNumberFormat="1" applyFont="1" applyFill="1" applyBorder="1" applyAlignment="1">
      <alignment horizontal="center" vertical="top"/>
    </xf>
    <xf numFmtId="2" fontId="32" fillId="15" borderId="27" xfId="0" applyNumberFormat="1" applyFont="1" applyFill="1" applyBorder="1" applyAlignment="1">
      <alignment horizontal="center" vertical="top"/>
    </xf>
    <xf numFmtId="0" fontId="31" fillId="0" borderId="27" xfId="0" applyFont="1" applyFill="1" applyBorder="1" applyAlignment="1">
      <alignment vertical="top"/>
    </xf>
    <xf numFmtId="2" fontId="33" fillId="0" borderId="19" xfId="0" applyNumberFormat="1" applyFont="1" applyFill="1" applyBorder="1" applyAlignment="1">
      <alignment horizontal="center" vertical="top"/>
    </xf>
    <xf numFmtId="0" fontId="33" fillId="11" borderId="19" xfId="0" applyNumberFormat="1" applyFont="1" applyFill="1" applyBorder="1" applyAlignment="1">
      <alignment horizontal="center" vertical="top"/>
    </xf>
    <xf numFmtId="0" fontId="38" fillId="0" borderId="27" xfId="0" applyFont="1" applyBorder="1" applyAlignment="1">
      <alignment/>
    </xf>
    <xf numFmtId="2" fontId="33" fillId="11" borderId="19" xfId="0" applyNumberFormat="1" applyFont="1" applyFill="1" applyBorder="1" applyAlignment="1">
      <alignment horizontal="center" vertical="top"/>
    </xf>
    <xf numFmtId="2" fontId="33" fillId="41" borderId="19" xfId="0" applyNumberFormat="1" applyFont="1" applyFill="1" applyBorder="1" applyAlignment="1">
      <alignment horizontal="center" vertical="top"/>
    </xf>
    <xf numFmtId="2" fontId="33" fillId="42" borderId="19" xfId="0" applyNumberFormat="1" applyFont="1" applyFill="1" applyBorder="1" applyAlignment="1">
      <alignment horizontal="center" vertical="top"/>
    </xf>
    <xf numFmtId="2" fontId="33" fillId="15" borderId="19" xfId="0" applyNumberFormat="1" applyFont="1" applyFill="1" applyBorder="1" applyAlignment="1">
      <alignment horizontal="center" vertical="top"/>
    </xf>
    <xf numFmtId="2" fontId="38" fillId="0" borderId="27" xfId="0" applyNumberFormat="1" applyFont="1" applyBorder="1" applyAlignment="1">
      <alignment/>
    </xf>
    <xf numFmtId="0" fontId="31" fillId="0" borderId="27" xfId="0" applyFont="1" applyFill="1" applyBorder="1" applyAlignment="1">
      <alignment horizontal="left" vertical="top" wrapText="1"/>
    </xf>
    <xf numFmtId="2" fontId="33" fillId="0" borderId="27" xfId="0" applyNumberFormat="1" applyFont="1" applyFill="1" applyBorder="1" applyAlignment="1">
      <alignment horizontal="center" vertical="top"/>
    </xf>
    <xf numFmtId="0" fontId="31" fillId="0" borderId="27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center" vertical="top" wrapText="1"/>
    </xf>
    <xf numFmtId="2" fontId="33" fillId="0" borderId="23" xfId="0" applyNumberFormat="1" applyFont="1" applyFill="1" applyBorder="1" applyAlignment="1">
      <alignment horizontal="center" vertical="top"/>
    </xf>
    <xf numFmtId="0" fontId="31" fillId="0" borderId="23" xfId="0" applyFont="1" applyFill="1" applyBorder="1" applyAlignment="1">
      <alignment horizontal="left" vertical="top" wrapText="1"/>
    </xf>
    <xf numFmtId="2" fontId="33" fillId="0" borderId="27" xfId="0" applyNumberFormat="1" applyFont="1" applyFill="1" applyBorder="1" applyAlignment="1">
      <alignment horizontal="center" vertical="top" wrapText="1"/>
    </xf>
    <xf numFmtId="2" fontId="33" fillId="11" borderId="27" xfId="0" applyNumberFormat="1" applyFont="1" applyFill="1" applyBorder="1" applyAlignment="1">
      <alignment horizontal="center" vertical="top" wrapText="1"/>
    </xf>
    <xf numFmtId="2" fontId="33" fillId="41" borderId="27" xfId="0" applyNumberFormat="1" applyFont="1" applyFill="1" applyBorder="1" applyAlignment="1">
      <alignment horizontal="center" vertical="top" wrapText="1"/>
    </xf>
    <xf numFmtId="2" fontId="33" fillId="42" borderId="27" xfId="0" applyNumberFormat="1" applyFont="1" applyFill="1" applyBorder="1" applyAlignment="1">
      <alignment horizontal="center" vertical="top" wrapText="1"/>
    </xf>
    <xf numFmtId="2" fontId="33" fillId="15" borderId="27" xfId="0" applyNumberFormat="1" applyFont="1" applyFill="1" applyBorder="1" applyAlignment="1">
      <alignment horizontal="center" vertical="top" wrapText="1"/>
    </xf>
    <xf numFmtId="0" fontId="31" fillId="40" borderId="19" xfId="0" applyFont="1" applyFill="1" applyBorder="1" applyAlignment="1">
      <alignment horizontal="left" vertical="top" wrapText="1"/>
    </xf>
    <xf numFmtId="2" fontId="33" fillId="0" borderId="19" xfId="0" applyNumberFormat="1" applyFont="1" applyFill="1" applyBorder="1" applyAlignment="1">
      <alignment horizontal="center" vertical="top" wrapText="1"/>
    </xf>
    <xf numFmtId="2" fontId="33" fillId="11" borderId="19" xfId="0" applyNumberFormat="1" applyFont="1" applyFill="1" applyBorder="1" applyAlignment="1">
      <alignment horizontal="center" vertical="top" wrapText="1"/>
    </xf>
    <xf numFmtId="2" fontId="33" fillId="41" borderId="19" xfId="0" applyNumberFormat="1" applyFont="1" applyFill="1" applyBorder="1" applyAlignment="1">
      <alignment horizontal="center" vertical="top" wrapText="1"/>
    </xf>
    <xf numFmtId="2" fontId="33" fillId="42" borderId="19" xfId="0" applyNumberFormat="1" applyFont="1" applyFill="1" applyBorder="1" applyAlignment="1">
      <alignment horizontal="center" vertical="top" wrapText="1"/>
    </xf>
    <xf numFmtId="2" fontId="33" fillId="15" borderId="19" xfId="0" applyNumberFormat="1" applyFont="1" applyFill="1" applyBorder="1" applyAlignment="1">
      <alignment horizontal="center" vertical="top" wrapText="1"/>
    </xf>
    <xf numFmtId="0" fontId="31" fillId="40" borderId="27" xfId="0" applyFont="1" applyFill="1" applyBorder="1" applyAlignment="1">
      <alignment vertical="top" wrapText="1"/>
    </xf>
    <xf numFmtId="0" fontId="31" fillId="0" borderId="27" xfId="0" applyFont="1" applyFill="1" applyBorder="1" applyAlignment="1">
      <alignment vertical="top" wrapText="1"/>
    </xf>
    <xf numFmtId="0" fontId="31" fillId="0" borderId="27" xfId="0" applyFont="1" applyFill="1" applyBorder="1" applyAlignment="1">
      <alignment horizontal="left" vertical="top"/>
    </xf>
    <xf numFmtId="0" fontId="38" fillId="41" borderId="0" xfId="0" applyFont="1" applyFill="1" applyAlignment="1">
      <alignment/>
    </xf>
    <xf numFmtId="0" fontId="38" fillId="42" borderId="0" xfId="0" applyFont="1" applyFill="1" applyAlignment="1">
      <alignment/>
    </xf>
    <xf numFmtId="0" fontId="38" fillId="15" borderId="0" xfId="0" applyFont="1" applyFill="1" applyAlignment="1">
      <alignment/>
    </xf>
    <xf numFmtId="0" fontId="38" fillId="0" borderId="0" xfId="0" applyFont="1" applyFill="1" applyBorder="1" applyAlignment="1">
      <alignment/>
    </xf>
    <xf numFmtId="2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/>
    </xf>
    <xf numFmtId="2" fontId="38" fillId="38" borderId="0" xfId="0" applyNumberFormat="1" applyFont="1" applyFill="1" applyAlignment="1">
      <alignment horizontal="center" vertical="center"/>
    </xf>
    <xf numFmtId="2" fontId="32" fillId="43" borderId="27" xfId="0" applyNumberFormat="1" applyFont="1" applyFill="1" applyBorder="1" applyAlignment="1">
      <alignment horizontal="center" vertical="top"/>
    </xf>
    <xf numFmtId="2" fontId="31" fillId="43" borderId="27" xfId="0" applyNumberFormat="1" applyFont="1" applyFill="1" applyBorder="1" applyAlignment="1">
      <alignment horizontal="center" vertical="top"/>
    </xf>
    <xf numFmtId="2" fontId="33" fillId="43" borderId="19" xfId="0" applyNumberFormat="1" applyFont="1" applyFill="1" applyBorder="1" applyAlignment="1">
      <alignment horizontal="center" vertical="top"/>
    </xf>
    <xf numFmtId="2" fontId="31" fillId="43" borderId="19" xfId="0" applyNumberFormat="1" applyFont="1" applyFill="1" applyBorder="1" applyAlignment="1">
      <alignment horizontal="center" vertical="top"/>
    </xf>
    <xf numFmtId="2" fontId="41" fillId="0" borderId="23" xfId="0" applyNumberFormat="1" applyFont="1" applyFill="1" applyBorder="1" applyAlignment="1">
      <alignment horizontal="center" vertical="top"/>
    </xf>
    <xf numFmtId="0" fontId="29" fillId="0" borderId="19" xfId="0" applyFont="1" applyFill="1" applyBorder="1" applyAlignment="1">
      <alignment vertical="top" wrapText="1"/>
    </xf>
    <xf numFmtId="2" fontId="41" fillId="0" borderId="19" xfId="0" applyNumberFormat="1" applyFont="1" applyFill="1" applyBorder="1" applyAlignment="1">
      <alignment horizontal="center" vertical="top"/>
    </xf>
    <xf numFmtId="2" fontId="29" fillId="0" borderId="19" xfId="0" applyNumberFormat="1" applyFont="1" applyFill="1" applyBorder="1" applyAlignment="1">
      <alignment horizontal="center" vertical="top"/>
    </xf>
    <xf numFmtId="2" fontId="29" fillId="11" borderId="19" xfId="0" applyNumberFormat="1" applyFont="1" applyFill="1" applyBorder="1" applyAlignment="1">
      <alignment horizontal="center" vertical="top"/>
    </xf>
    <xf numFmtId="2" fontId="41" fillId="11" borderId="19" xfId="0" applyNumberFormat="1" applyFont="1" applyFill="1" applyBorder="1" applyAlignment="1">
      <alignment horizontal="center" vertical="top"/>
    </xf>
    <xf numFmtId="2" fontId="41" fillId="43" borderId="19" xfId="0" applyNumberFormat="1" applyFont="1" applyFill="1" applyBorder="1" applyAlignment="1">
      <alignment horizontal="center" vertical="top"/>
    </xf>
    <xf numFmtId="3" fontId="29" fillId="0" borderId="19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left" vertical="top" wrapText="1"/>
    </xf>
    <xf numFmtId="2" fontId="41" fillId="0" borderId="27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left" vertical="top" wrapText="1"/>
    </xf>
    <xf numFmtId="2" fontId="41" fillId="11" borderId="27" xfId="0" applyNumberFormat="1" applyFont="1" applyFill="1" applyBorder="1" applyAlignment="1">
      <alignment horizontal="center" vertical="top"/>
    </xf>
    <xf numFmtId="2" fontId="41" fillId="43" borderId="27" xfId="0" applyNumberFormat="1" applyFont="1" applyFill="1" applyBorder="1" applyAlignment="1">
      <alignment horizontal="center" vertical="top"/>
    </xf>
    <xf numFmtId="2" fontId="41" fillId="0" borderId="27" xfId="0" applyNumberFormat="1" applyFont="1" applyFill="1" applyBorder="1" applyAlignment="1">
      <alignment horizontal="center" vertical="top" wrapText="1"/>
    </xf>
    <xf numFmtId="2" fontId="41" fillId="11" borderId="27" xfId="0" applyNumberFormat="1" applyFont="1" applyFill="1" applyBorder="1" applyAlignment="1">
      <alignment horizontal="center" vertical="top" wrapText="1"/>
    </xf>
    <xf numFmtId="2" fontId="41" fillId="43" borderId="27" xfId="0" applyNumberFormat="1" applyFont="1" applyFill="1" applyBorder="1" applyAlignment="1">
      <alignment horizontal="center" vertical="top" wrapText="1"/>
    </xf>
    <xf numFmtId="2" fontId="29" fillId="43" borderId="27" xfId="0" applyNumberFormat="1" applyFont="1" applyFill="1" applyBorder="1" applyAlignment="1">
      <alignment horizontal="center" vertical="top"/>
    </xf>
    <xf numFmtId="2" fontId="29" fillId="0" borderId="27" xfId="0" applyNumberFormat="1" applyFont="1" applyFill="1" applyBorder="1" applyAlignment="1">
      <alignment horizontal="center" vertical="top"/>
    </xf>
    <xf numFmtId="3" fontId="29" fillId="0" borderId="27" xfId="0" applyNumberFormat="1" applyFont="1" applyFill="1" applyBorder="1" applyAlignment="1">
      <alignment horizontal="center" vertical="top"/>
    </xf>
    <xf numFmtId="0" fontId="29" fillId="40" borderId="19" xfId="0" applyFont="1" applyFill="1" applyBorder="1" applyAlignment="1">
      <alignment horizontal="left" vertical="top" wrapText="1"/>
    </xf>
    <xf numFmtId="2" fontId="41" fillId="0" borderId="19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3" fontId="41" fillId="0" borderId="19" xfId="0" applyNumberFormat="1" applyFont="1" applyFill="1" applyBorder="1" applyAlignment="1">
      <alignment horizontal="center" vertical="top"/>
    </xf>
    <xf numFmtId="0" fontId="29" fillId="40" borderId="27" xfId="0" applyFont="1" applyFill="1" applyBorder="1" applyAlignment="1">
      <alignment vertical="top" wrapText="1"/>
    </xf>
    <xf numFmtId="2" fontId="29" fillId="0" borderId="27" xfId="0" applyNumberFormat="1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vertical="top" wrapText="1"/>
    </xf>
    <xf numFmtId="2" fontId="41" fillId="11" borderId="19" xfId="0" applyNumberFormat="1" applyFont="1" applyFill="1" applyBorder="1" applyAlignment="1">
      <alignment horizontal="center" vertical="top" wrapText="1"/>
    </xf>
    <xf numFmtId="2" fontId="41" fillId="43" borderId="19" xfId="0" applyNumberFormat="1" applyFont="1" applyFill="1" applyBorder="1" applyAlignment="1">
      <alignment horizontal="center" vertical="top" wrapText="1"/>
    </xf>
    <xf numFmtId="2" fontId="29" fillId="43" borderId="19" xfId="0" applyNumberFormat="1" applyFont="1" applyFill="1" applyBorder="1" applyAlignment="1">
      <alignment horizontal="center" vertical="top"/>
    </xf>
    <xf numFmtId="0" fontId="42" fillId="0" borderId="27" xfId="0" applyFont="1" applyFill="1" applyBorder="1" applyAlignment="1">
      <alignment vertical="top"/>
    </xf>
    <xf numFmtId="2" fontId="42" fillId="11" borderId="27" xfId="0" applyNumberFormat="1" applyFont="1" applyFill="1" applyBorder="1" applyAlignment="1">
      <alignment horizontal="center" vertical="top"/>
    </xf>
    <xf numFmtId="2" fontId="42" fillId="43" borderId="27" xfId="0" applyNumberFormat="1" applyFont="1" applyFill="1" applyBorder="1" applyAlignment="1">
      <alignment horizontal="center" vertical="top"/>
    </xf>
    <xf numFmtId="2" fontId="42" fillId="0" borderId="27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vertical="top"/>
    </xf>
    <xf numFmtId="3" fontId="42" fillId="0" borderId="27" xfId="0" applyNumberFormat="1" applyFont="1" applyFill="1" applyBorder="1" applyAlignment="1">
      <alignment horizontal="center" vertical="top"/>
    </xf>
    <xf numFmtId="0" fontId="29" fillId="40" borderId="27" xfId="0" applyFont="1" applyFill="1" applyBorder="1" applyAlignment="1">
      <alignment vertical="top"/>
    </xf>
    <xf numFmtId="0" fontId="29" fillId="40" borderId="27" xfId="0" applyFont="1" applyFill="1" applyBorder="1" applyAlignment="1">
      <alignment horizontal="left" vertical="top"/>
    </xf>
    <xf numFmtId="0" fontId="29" fillId="0" borderId="27" xfId="0" applyFont="1" applyFill="1" applyBorder="1" applyAlignment="1">
      <alignment horizontal="left" vertical="top"/>
    </xf>
    <xf numFmtId="2" fontId="32" fillId="0" borderId="18" xfId="0" applyNumberFormat="1" applyFont="1" applyFill="1" applyBorder="1" applyAlignment="1">
      <alignment horizontal="left" vertical="top" wrapText="1"/>
    </xf>
    <xf numFmtId="2" fontId="32" fillId="0" borderId="0" xfId="0" applyNumberFormat="1" applyFont="1" applyFill="1" applyBorder="1" applyAlignment="1">
      <alignment horizontal="left" vertical="top" wrapText="1"/>
    </xf>
    <xf numFmtId="2" fontId="35" fillId="0" borderId="0" xfId="0" applyNumberFormat="1" applyFont="1" applyFill="1" applyBorder="1" applyAlignment="1">
      <alignment horizontal="center" vertical="top"/>
    </xf>
    <xf numFmtId="0" fontId="31" fillId="0" borderId="22" xfId="0" applyFont="1" applyFill="1" applyBorder="1" applyAlignment="1">
      <alignment horizontal="center" vertical="top"/>
    </xf>
    <xf numFmtId="0" fontId="32" fillId="0" borderId="55" xfId="0" applyFont="1" applyFill="1" applyBorder="1" applyAlignment="1">
      <alignment horizontal="center" vertical="top"/>
    </xf>
    <xf numFmtId="0" fontId="32" fillId="0" borderId="37" xfId="0" applyFont="1" applyFill="1" applyBorder="1" applyAlignment="1">
      <alignment horizontal="center" vertical="top"/>
    </xf>
    <xf numFmtId="2" fontId="2" fillId="44" borderId="18" xfId="0" applyNumberFormat="1" applyFont="1" applyFill="1" applyBorder="1" applyAlignment="1">
      <alignment horizontal="left" vertical="center" wrapText="1"/>
    </xf>
    <xf numFmtId="2" fontId="2" fillId="44" borderId="0" xfId="0" applyNumberFormat="1" applyFont="1" applyFill="1" applyBorder="1" applyAlignment="1">
      <alignment horizontal="left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20" fillId="0" borderId="2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/>
    </xf>
    <xf numFmtId="2" fontId="33" fillId="11" borderId="55" xfId="0" applyNumberFormat="1" applyFont="1" applyFill="1" applyBorder="1" applyAlignment="1">
      <alignment horizontal="center" vertical="top" wrapText="1"/>
    </xf>
    <xf numFmtId="2" fontId="33" fillId="11" borderId="37" xfId="0" applyNumberFormat="1" applyFont="1" applyFill="1" applyBorder="1" applyAlignment="1">
      <alignment horizontal="center" vertical="top" wrapText="1"/>
    </xf>
    <xf numFmtId="0" fontId="38" fillId="0" borderId="22" xfId="0" applyFont="1" applyBorder="1" applyAlignment="1">
      <alignment horizontal="center"/>
    </xf>
    <xf numFmtId="2" fontId="33" fillId="42" borderId="55" xfId="0" applyNumberFormat="1" applyFont="1" applyFill="1" applyBorder="1" applyAlignment="1">
      <alignment horizontal="center" vertical="top" wrapText="1"/>
    </xf>
    <xf numFmtId="2" fontId="33" fillId="42" borderId="37" xfId="0" applyNumberFormat="1" applyFont="1" applyFill="1" applyBorder="1" applyAlignment="1">
      <alignment horizontal="center" vertical="top" wrapText="1"/>
    </xf>
    <xf numFmtId="0" fontId="38" fillId="15" borderId="22" xfId="0" applyFont="1" applyFill="1" applyBorder="1" applyAlignment="1">
      <alignment horizontal="center"/>
    </xf>
    <xf numFmtId="2" fontId="32" fillId="41" borderId="55" xfId="0" applyNumberFormat="1" applyFont="1" applyFill="1" applyBorder="1" applyAlignment="1">
      <alignment horizontal="center" vertical="top"/>
    </xf>
    <xf numFmtId="2" fontId="32" fillId="41" borderId="37" xfId="0" applyNumberFormat="1" applyFont="1" applyFill="1" applyBorder="1" applyAlignment="1">
      <alignment horizontal="center" vertical="top"/>
    </xf>
    <xf numFmtId="2" fontId="32" fillId="42" borderId="55" xfId="0" applyNumberFormat="1" applyFont="1" applyFill="1" applyBorder="1" applyAlignment="1">
      <alignment horizontal="center" vertical="top"/>
    </xf>
    <xf numFmtId="2" fontId="32" fillId="42" borderId="37" xfId="0" applyNumberFormat="1" applyFont="1" applyFill="1" applyBorder="1" applyAlignment="1">
      <alignment horizontal="center" vertical="top"/>
    </xf>
    <xf numFmtId="2" fontId="32" fillId="15" borderId="55" xfId="0" applyNumberFormat="1" applyFont="1" applyFill="1" applyBorder="1" applyAlignment="1">
      <alignment horizontal="center" vertical="top"/>
    </xf>
    <xf numFmtId="2" fontId="32" fillId="15" borderId="37" xfId="0" applyNumberFormat="1" applyFont="1" applyFill="1" applyBorder="1" applyAlignment="1">
      <alignment horizontal="center" vertical="top"/>
    </xf>
    <xf numFmtId="2" fontId="32" fillId="11" borderId="55" xfId="0" applyNumberFormat="1" applyFont="1" applyFill="1" applyBorder="1" applyAlignment="1">
      <alignment horizontal="center" vertical="top"/>
    </xf>
    <xf numFmtId="2" fontId="32" fillId="11" borderId="37" xfId="0" applyNumberFormat="1" applyFont="1" applyFill="1" applyBorder="1" applyAlignment="1">
      <alignment horizontal="center" vertical="top"/>
    </xf>
    <xf numFmtId="2" fontId="33" fillId="41" borderId="55" xfId="0" applyNumberFormat="1" applyFont="1" applyFill="1" applyBorder="1" applyAlignment="1">
      <alignment horizontal="center" vertical="top" wrapText="1"/>
    </xf>
    <xf numFmtId="2" fontId="33" fillId="41" borderId="37" xfId="0" applyNumberFormat="1" applyFont="1" applyFill="1" applyBorder="1" applyAlignment="1">
      <alignment horizontal="center" vertical="top" wrapText="1"/>
    </xf>
    <xf numFmtId="0" fontId="38" fillId="41" borderId="22" xfId="0" applyFont="1" applyFill="1" applyBorder="1" applyAlignment="1">
      <alignment horizontal="center"/>
    </xf>
    <xf numFmtId="0" fontId="38" fillId="42" borderId="22" xfId="0" applyFont="1" applyFill="1" applyBorder="1" applyAlignment="1">
      <alignment horizontal="center"/>
    </xf>
    <xf numFmtId="2" fontId="40" fillId="11" borderId="55" xfId="0" applyNumberFormat="1" applyFont="1" applyFill="1" applyBorder="1" applyAlignment="1">
      <alignment horizontal="center" vertical="top" wrapText="1"/>
    </xf>
    <xf numFmtId="2" fontId="40" fillId="11" borderId="37" xfId="0" applyNumberFormat="1" applyFont="1" applyFill="1" applyBorder="1" applyAlignment="1">
      <alignment horizontal="center" vertical="top" wrapText="1"/>
    </xf>
    <xf numFmtId="0" fontId="38" fillId="0" borderId="19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2" fontId="32" fillId="11" borderId="26" xfId="0" applyNumberFormat="1" applyFont="1" applyFill="1" applyBorder="1" applyAlignment="1">
      <alignment horizontal="center" vertical="top"/>
    </xf>
    <xf numFmtId="2" fontId="32" fillId="41" borderId="26" xfId="0" applyNumberFormat="1" applyFont="1" applyFill="1" applyBorder="1" applyAlignment="1">
      <alignment horizontal="center" vertical="top"/>
    </xf>
    <xf numFmtId="2" fontId="32" fillId="42" borderId="26" xfId="0" applyNumberFormat="1" applyFont="1" applyFill="1" applyBorder="1" applyAlignment="1">
      <alignment horizontal="center" vertical="top"/>
    </xf>
    <xf numFmtId="2" fontId="32" fillId="15" borderId="26" xfId="0" applyNumberFormat="1" applyFont="1" applyFill="1" applyBorder="1" applyAlignment="1">
      <alignment horizontal="center" vertical="top"/>
    </xf>
    <xf numFmtId="2" fontId="33" fillId="15" borderId="55" xfId="0" applyNumberFormat="1" applyFont="1" applyFill="1" applyBorder="1" applyAlignment="1">
      <alignment horizontal="center" vertical="top" wrapText="1"/>
    </xf>
    <xf numFmtId="2" fontId="33" fillId="15" borderId="3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161925</xdr:colOff>
      <xdr:row>8</xdr:row>
      <xdr:rowOff>47625</xdr:rowOff>
    </xdr:from>
    <xdr:to>
      <xdr:col>20</xdr:col>
      <xdr:colOff>9525</xdr:colOff>
      <xdr:row>17</xdr:row>
      <xdr:rowOff>123825</xdr:rowOff>
    </xdr:to>
    <xdr:sp>
      <xdr:nvSpPr>
        <xdr:cNvPr id="1" name="Comment 1"/>
        <xdr:cNvSpPr>
          <a:spLocks/>
        </xdr:cNvSpPr>
      </xdr:nvSpPr>
      <xdr:spPr>
        <a:xfrm>
          <a:off x="11715750" y="1428750"/>
          <a:ext cx="13906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Бух:</a:t>
          </a:r>
          <a:r>
            <a:rPr lang="en-US" cap="none" sz="800" b="0" i="0" u="none" baseline="0"/>
            <a:t>
2095*4мес=8380
2280*8мес=18240
Всего:26620</a:t>
          </a:r>
        </a:p>
      </xdr:txBody>
    </xdr:sp>
    <xdr:clientData/>
  </xdr:twoCellAnchor>
  <xdr:twoCellAnchor editAs="absolute">
    <xdr:from>
      <xdr:col>18</xdr:col>
      <xdr:colOff>161925</xdr:colOff>
      <xdr:row>9</xdr:row>
      <xdr:rowOff>57150</xdr:rowOff>
    </xdr:from>
    <xdr:to>
      <xdr:col>21</xdr:col>
      <xdr:colOff>133350</xdr:colOff>
      <xdr:row>22</xdr:row>
      <xdr:rowOff>0</xdr:rowOff>
    </xdr:to>
    <xdr:sp>
      <xdr:nvSpPr>
        <xdr:cNvPr id="2" name="Comment 2"/>
        <xdr:cNvSpPr>
          <a:spLocks/>
        </xdr:cNvSpPr>
      </xdr:nvSpPr>
      <xdr:spPr>
        <a:xfrm>
          <a:off x="11715750" y="1590675"/>
          <a:ext cx="2200275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Бух:</a:t>
          </a:r>
          <a:r>
            <a:rPr lang="en-US" cap="none" sz="800" b="0" i="0" u="none" baseline="0"/>
            <a:t>
30000 мелк.рем.кровли
31640 ремонт теплоцентра
5000 ящики(мат.3510)
3510
 ВСЕГО: 70150
Ир.Георг. Сказала уменьшить до 28000</a:t>
          </a:r>
        </a:p>
      </xdr:txBody>
    </xdr:sp>
    <xdr:clientData/>
  </xdr:twoCellAnchor>
  <xdr:twoCellAnchor editAs="absolute">
    <xdr:from>
      <xdr:col>18</xdr:col>
      <xdr:colOff>161925</xdr:colOff>
      <xdr:row>12</xdr:row>
      <xdr:rowOff>47625</xdr:rowOff>
    </xdr:from>
    <xdr:to>
      <xdr:col>19</xdr:col>
      <xdr:colOff>657225</xdr:colOff>
      <xdr:row>19</xdr:row>
      <xdr:rowOff>142875</xdr:rowOff>
    </xdr:to>
    <xdr:sp>
      <xdr:nvSpPr>
        <xdr:cNvPr id="3" name="Comment 3"/>
        <xdr:cNvSpPr>
          <a:spLocks/>
        </xdr:cNvSpPr>
      </xdr:nvSpPr>
      <xdr:spPr>
        <a:xfrm>
          <a:off x="11715750" y="2038350"/>
          <a:ext cx="13525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Бух:</a:t>
          </a:r>
          <a:r>
            <a:rPr lang="en-US" cap="none" sz="800" b="0" i="0" u="none" baseline="0"/>
            <a:t>
2060,39*4мес=8241,56
2208,26*2мес=4416,52
Всего:12658,08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8.75390625" style="0" customWidth="1"/>
    <col min="2" max="2" width="42.00390625" style="0" customWidth="1"/>
    <col min="4" max="4" width="19.375" style="0" customWidth="1"/>
    <col min="5" max="5" width="22.375" style="0" customWidth="1"/>
    <col min="6" max="6" width="20.125" style="0" customWidth="1"/>
    <col min="8" max="8" width="12.25390625" style="0" customWidth="1"/>
  </cols>
  <sheetData>
    <row r="1" spans="1:8" ht="12.75">
      <c r="A1" s="1" t="s">
        <v>0</v>
      </c>
      <c r="B1" s="1" t="s">
        <v>1</v>
      </c>
      <c r="C1" s="1"/>
      <c r="D1" s="1"/>
      <c r="E1" s="2"/>
      <c r="F1" s="1"/>
      <c r="G1" s="1"/>
      <c r="H1" s="1"/>
    </row>
    <row r="2" spans="1:8" ht="12.75">
      <c r="A2" s="1" t="s">
        <v>2</v>
      </c>
      <c r="B2" s="1"/>
      <c r="C2" s="1"/>
      <c r="D2" s="1"/>
      <c r="E2" s="2"/>
      <c r="F2" s="1"/>
      <c r="G2" s="1"/>
      <c r="H2" s="1"/>
    </row>
    <row r="3" spans="1:8" ht="12.75">
      <c r="A3" s="1" t="s">
        <v>3</v>
      </c>
      <c r="B3" s="1" t="s">
        <v>4</v>
      </c>
      <c r="C3" s="1"/>
      <c r="D3" s="1"/>
      <c r="E3" s="2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 t="s">
        <v>5</v>
      </c>
      <c r="C5" s="1"/>
      <c r="D5" s="1"/>
      <c r="E5" s="2"/>
      <c r="F5" s="1"/>
      <c r="G5" s="1"/>
      <c r="H5" s="1"/>
    </row>
    <row r="6" spans="1:8" ht="12.75">
      <c r="A6" s="1"/>
      <c r="B6" s="1" t="s">
        <v>6</v>
      </c>
      <c r="C6" s="1"/>
      <c r="D6" s="1"/>
      <c r="E6" s="2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7</v>
      </c>
      <c r="C8" s="3"/>
      <c r="D8" s="1" t="s">
        <v>8</v>
      </c>
      <c r="E8" s="2" t="s">
        <v>9</v>
      </c>
      <c r="F8" s="3"/>
      <c r="G8" s="3"/>
      <c r="H8" s="1"/>
    </row>
    <row r="9" spans="1:8" ht="12.75">
      <c r="A9" s="1"/>
      <c r="B9" s="1" t="s">
        <v>10</v>
      </c>
      <c r="C9" s="3"/>
      <c r="D9" s="1" t="s">
        <v>11</v>
      </c>
      <c r="E9" s="2"/>
      <c r="F9" s="3"/>
      <c r="G9" s="3"/>
      <c r="H9" s="1"/>
    </row>
    <row r="10" spans="1:8" ht="12.75">
      <c r="A10" s="1"/>
      <c r="B10" s="1" t="s">
        <v>12</v>
      </c>
      <c r="C10" s="3"/>
      <c r="D10" s="1">
        <v>32</v>
      </c>
      <c r="E10" s="2" t="s">
        <v>13</v>
      </c>
      <c r="F10" s="3">
        <v>95</v>
      </c>
      <c r="G10" s="3"/>
      <c r="H10" s="1"/>
    </row>
    <row r="11" spans="1:8" ht="12.75">
      <c r="A11" s="1"/>
      <c r="B11" s="1" t="s">
        <v>14</v>
      </c>
      <c r="C11" s="1"/>
      <c r="D11" s="1"/>
      <c r="E11" s="2"/>
      <c r="F11" s="1"/>
      <c r="G11" s="1"/>
      <c r="H11" s="1"/>
    </row>
    <row r="12" spans="1:8" ht="12.75">
      <c r="A12" s="4" t="s">
        <v>15</v>
      </c>
      <c r="B12" s="5" t="s">
        <v>16</v>
      </c>
      <c r="C12" s="6" t="s">
        <v>17</v>
      </c>
      <c r="D12" s="7" t="s">
        <v>18</v>
      </c>
      <c r="E12" s="8" t="s">
        <v>19</v>
      </c>
      <c r="F12" s="9"/>
      <c r="G12" s="9"/>
      <c r="H12" s="10"/>
    </row>
    <row r="13" spans="1:8" ht="12.75">
      <c r="A13" s="11" t="s">
        <v>20</v>
      </c>
      <c r="B13" s="12"/>
      <c r="C13" s="13" t="s">
        <v>21</v>
      </c>
      <c r="D13" s="14" t="s">
        <v>22</v>
      </c>
      <c r="E13" s="15" t="s">
        <v>23</v>
      </c>
      <c r="F13" s="14" t="s">
        <v>24</v>
      </c>
      <c r="G13" s="14"/>
      <c r="H13" s="16" t="s">
        <v>25</v>
      </c>
    </row>
    <row r="14" spans="1:8" ht="12.75">
      <c r="A14" s="11"/>
      <c r="B14" s="12"/>
      <c r="C14" s="13"/>
      <c r="D14" s="14"/>
      <c r="E14" s="15" t="s">
        <v>26</v>
      </c>
      <c r="F14" s="14" t="s">
        <v>27</v>
      </c>
      <c r="G14" s="14"/>
      <c r="H14" s="16" t="s">
        <v>28</v>
      </c>
    </row>
    <row r="15" spans="1:8" ht="12.75">
      <c r="A15" s="17">
        <v>1</v>
      </c>
      <c r="B15" s="18" t="s">
        <v>29</v>
      </c>
      <c r="C15" s="19"/>
      <c r="D15" s="20"/>
      <c r="E15" s="21"/>
      <c r="F15" s="20"/>
      <c r="G15" s="20"/>
      <c r="H15" s="22"/>
    </row>
    <row r="16" spans="1:8" ht="12.75">
      <c r="A16" s="23"/>
      <c r="B16" s="24" t="s">
        <v>30</v>
      </c>
      <c r="C16" s="25">
        <v>3.39</v>
      </c>
      <c r="D16" s="26" t="s">
        <v>31</v>
      </c>
      <c r="E16" s="27">
        <v>9831</v>
      </c>
      <c r="F16" s="26"/>
      <c r="G16" s="26"/>
      <c r="H16" s="28"/>
    </row>
    <row r="17" spans="1:8" ht="12.75">
      <c r="A17" s="11">
        <v>2</v>
      </c>
      <c r="B17" s="12" t="s">
        <v>32</v>
      </c>
      <c r="C17" s="29"/>
      <c r="D17" s="14"/>
      <c r="E17" s="30"/>
      <c r="F17" s="14"/>
      <c r="G17" s="14"/>
      <c r="H17" s="16"/>
    </row>
    <row r="18" spans="1:8" ht="12.75">
      <c r="A18" s="23"/>
      <c r="B18" s="24" t="s">
        <v>33</v>
      </c>
      <c r="C18" s="25">
        <v>4.57</v>
      </c>
      <c r="D18" s="26" t="s">
        <v>31</v>
      </c>
      <c r="E18" s="27">
        <v>13253</v>
      </c>
      <c r="F18" s="26"/>
      <c r="G18" s="26"/>
      <c r="H18" s="28"/>
    </row>
    <row r="19" spans="1:8" ht="12.75">
      <c r="A19" s="23">
        <v>3</v>
      </c>
      <c r="B19" s="24" t="s">
        <v>34</v>
      </c>
      <c r="C19" s="25">
        <v>1.29</v>
      </c>
      <c r="D19" s="26" t="s">
        <v>31</v>
      </c>
      <c r="E19" s="30">
        <v>3741</v>
      </c>
      <c r="F19" s="26"/>
      <c r="G19" s="26"/>
      <c r="H19" s="28"/>
    </row>
    <row r="20" spans="1:8" ht="12.75">
      <c r="A20" s="31">
        <v>4</v>
      </c>
      <c r="B20" s="32" t="s">
        <v>35</v>
      </c>
      <c r="C20" s="33">
        <v>0.89</v>
      </c>
      <c r="D20" s="34" t="s">
        <v>31</v>
      </c>
      <c r="E20" s="35"/>
      <c r="F20" s="34"/>
      <c r="G20" s="26"/>
      <c r="H20" s="28"/>
    </row>
    <row r="21" spans="1:8" ht="12.75">
      <c r="A21" s="31">
        <v>5</v>
      </c>
      <c r="B21" s="32" t="s">
        <v>36</v>
      </c>
      <c r="C21" s="33" t="s">
        <v>37</v>
      </c>
      <c r="D21" s="34" t="s">
        <v>31</v>
      </c>
      <c r="E21" s="35">
        <v>3683</v>
      </c>
      <c r="F21" s="34"/>
      <c r="G21" s="26"/>
      <c r="H21" s="28"/>
    </row>
    <row r="22" spans="1:8" ht="12.75">
      <c r="A22" s="31">
        <v>6</v>
      </c>
      <c r="B22" s="32" t="s">
        <v>38</v>
      </c>
      <c r="C22" s="33">
        <v>2.9</v>
      </c>
      <c r="D22" s="34" t="s">
        <v>31</v>
      </c>
      <c r="E22" s="35">
        <v>4925</v>
      </c>
      <c r="F22" s="34"/>
      <c r="G22" s="26"/>
      <c r="H22" s="28"/>
    </row>
    <row r="23" spans="1:8" ht="12.75">
      <c r="A23" s="31">
        <v>7</v>
      </c>
      <c r="B23" s="32" t="s">
        <v>39</v>
      </c>
      <c r="C23" s="33"/>
      <c r="D23" s="34" t="s">
        <v>40</v>
      </c>
      <c r="E23" s="35"/>
      <c r="F23" s="34"/>
      <c r="G23" s="26"/>
      <c r="H23" s="28"/>
    </row>
    <row r="24" spans="1:8" ht="12.75">
      <c r="A24" s="31">
        <v>9</v>
      </c>
      <c r="B24" s="32" t="s">
        <v>41</v>
      </c>
      <c r="C24" s="33">
        <v>0.46</v>
      </c>
      <c r="D24" s="34" t="s">
        <v>42</v>
      </c>
      <c r="E24" s="35">
        <v>29256</v>
      </c>
      <c r="F24" s="36"/>
      <c r="G24" s="37"/>
      <c r="H24" s="28"/>
    </row>
    <row r="25" spans="1:8" ht="12.75">
      <c r="A25" s="31">
        <v>11</v>
      </c>
      <c r="B25" s="32" t="s">
        <v>43</v>
      </c>
      <c r="C25" s="33">
        <v>199.86</v>
      </c>
      <c r="D25" s="34" t="s">
        <v>44</v>
      </c>
      <c r="E25" s="35">
        <v>15533</v>
      </c>
      <c r="F25" s="36"/>
      <c r="G25" s="37"/>
      <c r="H25" s="28"/>
    </row>
    <row r="26" spans="1:8" ht="12.75">
      <c r="A26" s="31"/>
      <c r="B26" s="32" t="s">
        <v>45</v>
      </c>
      <c r="C26" s="33">
        <v>11.14</v>
      </c>
      <c r="D26" s="34" t="s">
        <v>46</v>
      </c>
      <c r="E26" s="35"/>
      <c r="F26" s="34"/>
      <c r="G26" s="26"/>
      <c r="H26" s="28"/>
    </row>
    <row r="27" spans="1:8" ht="12.75">
      <c r="A27" s="31">
        <v>12</v>
      </c>
      <c r="B27" s="32" t="s">
        <v>47</v>
      </c>
      <c r="C27" s="33">
        <v>217.69</v>
      </c>
      <c r="D27" s="34" t="s">
        <v>44</v>
      </c>
      <c r="E27" s="35">
        <v>16673</v>
      </c>
      <c r="F27" s="34"/>
      <c r="G27" s="26"/>
      <c r="H27" s="28"/>
    </row>
    <row r="28" spans="1:8" ht="12.75">
      <c r="A28" s="31"/>
      <c r="B28" s="32" t="s">
        <v>45</v>
      </c>
      <c r="C28" s="33">
        <v>47.74</v>
      </c>
      <c r="D28" s="34" t="s">
        <v>46</v>
      </c>
      <c r="E28" s="35"/>
      <c r="F28" s="34"/>
      <c r="G28" s="26"/>
      <c r="H28" s="28"/>
    </row>
    <row r="29" spans="1:8" ht="12.75">
      <c r="A29" s="31">
        <v>13</v>
      </c>
      <c r="B29" s="32" t="s">
        <v>48</v>
      </c>
      <c r="C29" s="33">
        <v>13.29</v>
      </c>
      <c r="D29" s="34" t="s">
        <v>31</v>
      </c>
      <c r="E29" s="35">
        <v>861635.34</v>
      </c>
      <c r="F29" s="34"/>
      <c r="G29" s="26"/>
      <c r="H29" s="28"/>
    </row>
    <row r="30" spans="1:8" ht="12.75">
      <c r="A30" s="31">
        <v>14</v>
      </c>
      <c r="B30" s="32" t="s">
        <v>49</v>
      </c>
      <c r="C30" s="33">
        <v>28.08</v>
      </c>
      <c r="D30" s="34" t="s">
        <v>44</v>
      </c>
      <c r="E30" s="35">
        <v>0</v>
      </c>
      <c r="F30" s="34"/>
      <c r="G30" s="26"/>
      <c r="H30" s="28"/>
    </row>
    <row r="31" spans="1:8" ht="12.75">
      <c r="A31" s="31">
        <v>15</v>
      </c>
      <c r="B31" s="32" t="s">
        <v>50</v>
      </c>
      <c r="C31" s="33">
        <v>28</v>
      </c>
      <c r="D31" s="34" t="s">
        <v>42</v>
      </c>
      <c r="E31" s="35">
        <v>25056</v>
      </c>
      <c r="F31" s="34"/>
      <c r="G31" s="26"/>
      <c r="H31" s="28"/>
    </row>
    <row r="32" spans="1:8" ht="12.75">
      <c r="A32" s="31">
        <v>16</v>
      </c>
      <c r="B32" s="32" t="s">
        <v>51</v>
      </c>
      <c r="C32" s="33">
        <v>111</v>
      </c>
      <c r="D32" s="34" t="s">
        <v>42</v>
      </c>
      <c r="E32" s="35">
        <v>56700</v>
      </c>
      <c r="F32" s="34"/>
      <c r="G32" s="26"/>
      <c r="H32" s="28"/>
    </row>
    <row r="33" spans="1:8" ht="12.75">
      <c r="A33" s="31">
        <v>17</v>
      </c>
      <c r="B33" s="32" t="s">
        <v>52</v>
      </c>
      <c r="C33" s="48" t="s">
        <v>37</v>
      </c>
      <c r="D33" s="34" t="s">
        <v>42</v>
      </c>
      <c r="E33" s="35">
        <v>71997.07</v>
      </c>
      <c r="F33" s="34"/>
      <c r="G33" s="26"/>
      <c r="H33" s="28"/>
    </row>
    <row r="34" spans="1:8" ht="12.75">
      <c r="A34" s="31">
        <v>18</v>
      </c>
      <c r="B34" s="32" t="s">
        <v>53</v>
      </c>
      <c r="C34" s="38" t="s">
        <v>37</v>
      </c>
      <c r="D34" s="34" t="s">
        <v>31</v>
      </c>
      <c r="E34" s="35">
        <v>0</v>
      </c>
      <c r="F34" s="34"/>
      <c r="G34" s="26"/>
      <c r="H34" s="28"/>
    </row>
    <row r="35" spans="1:8" ht="12.75">
      <c r="A35" s="31">
        <v>19</v>
      </c>
      <c r="B35" s="32" t="s">
        <v>54</v>
      </c>
      <c r="C35" s="38">
        <v>0.2</v>
      </c>
      <c r="D35" s="34" t="s">
        <v>31</v>
      </c>
      <c r="E35" s="35">
        <v>6690.65</v>
      </c>
      <c r="F35" s="34"/>
      <c r="G35" s="26"/>
      <c r="H35" s="28"/>
    </row>
    <row r="36" spans="1:8" ht="12.75">
      <c r="A36" s="31">
        <v>20</v>
      </c>
      <c r="B36" s="32" t="s">
        <v>55</v>
      </c>
      <c r="C36" s="38" t="s">
        <v>37</v>
      </c>
      <c r="D36" s="34" t="s">
        <v>31</v>
      </c>
      <c r="E36" s="35">
        <v>0</v>
      </c>
      <c r="F36" s="34"/>
      <c r="G36" s="26"/>
      <c r="H36" s="28"/>
    </row>
    <row r="37" spans="1:8" ht="12.75">
      <c r="A37" s="31">
        <v>21</v>
      </c>
      <c r="B37" s="32" t="s">
        <v>56</v>
      </c>
      <c r="C37" s="38" t="s">
        <v>37</v>
      </c>
      <c r="D37" s="34" t="s">
        <v>42</v>
      </c>
      <c r="E37" s="35">
        <v>10394.36</v>
      </c>
      <c r="F37" s="34"/>
      <c r="G37" s="26"/>
      <c r="H37" s="28"/>
    </row>
    <row r="38" spans="1:8" ht="12.75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ht="12.75">
      <c r="A39" s="46">
        <v>22</v>
      </c>
      <c r="B39" s="1"/>
      <c r="C39" s="1"/>
      <c r="D39" s="12"/>
      <c r="E39" s="47"/>
      <c r="F39" s="12"/>
      <c r="G39" s="12"/>
      <c r="H39" s="1"/>
    </row>
    <row r="40" spans="1:8" ht="12.75">
      <c r="A40" s="1"/>
      <c r="B40" s="1"/>
      <c r="C40" s="1"/>
      <c r="D40" s="12"/>
      <c r="E40" s="47"/>
      <c r="F40" s="12"/>
      <c r="G40" s="12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57</v>
      </c>
      <c r="B43" s="1"/>
      <c r="C43" s="1"/>
      <c r="D43" s="1"/>
      <c r="E43" s="2"/>
      <c r="F43" s="1"/>
      <c r="G43" s="1"/>
      <c r="H43" s="1"/>
    </row>
  </sheetData>
  <sheetProtection/>
  <printOptions/>
  <pageMargins left="1" right="1" top="1" bottom="1" header="1" footer="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32.75390625" style="0" customWidth="1"/>
    <col min="3" max="3" width="11.25390625" style="0" customWidth="1"/>
    <col min="4" max="4" width="10.25390625" style="0" bestFit="1" customWidth="1"/>
  </cols>
  <sheetData>
    <row r="2" spans="1:21" s="201" customFormat="1" ht="18" customHeight="1">
      <c r="A2" s="219" t="s">
        <v>257</v>
      </c>
      <c r="B2" s="198"/>
      <c r="C2" s="200"/>
      <c r="D2" s="200"/>
      <c r="E2" s="217"/>
      <c r="F2" s="204"/>
      <c r="G2" s="218"/>
      <c r="H2" s="204"/>
      <c r="I2" s="217"/>
      <c r="J2" s="204"/>
      <c r="K2" s="200"/>
      <c r="L2" s="200"/>
      <c r="M2" s="198"/>
      <c r="N2" s="200"/>
      <c r="O2" s="200"/>
      <c r="P2" s="198"/>
      <c r="Q2" s="198"/>
      <c r="R2" s="198"/>
      <c r="S2" s="200"/>
      <c r="T2" s="204"/>
      <c r="U2" s="204"/>
    </row>
    <row r="3" spans="1:21" s="201" customFormat="1" ht="30" customHeight="1">
      <c r="A3" s="217" t="s">
        <v>256</v>
      </c>
      <c r="B3" s="199"/>
      <c r="C3" s="200"/>
      <c r="D3" s="200"/>
      <c r="E3" s="198"/>
      <c r="F3" s="204"/>
      <c r="G3" s="209"/>
      <c r="H3" s="204"/>
      <c r="I3" s="209"/>
      <c r="J3" s="204"/>
      <c r="K3" s="200"/>
      <c r="L3" s="200"/>
      <c r="M3" s="198"/>
      <c r="N3" s="200"/>
      <c r="O3" s="200"/>
      <c r="P3" s="198"/>
      <c r="Q3" s="198"/>
      <c r="R3" s="198"/>
      <c r="S3" s="200"/>
      <c r="T3" s="204"/>
      <c r="U3" s="204"/>
    </row>
    <row r="4" spans="1:21" s="190" customFormat="1" ht="18.75" customHeight="1">
      <c r="A4" s="189"/>
      <c r="B4" s="191"/>
      <c r="C4" s="184"/>
      <c r="D4" s="184"/>
      <c r="E4" s="189"/>
      <c r="F4" s="205"/>
      <c r="G4" s="209"/>
      <c r="H4" s="205"/>
      <c r="I4" s="209"/>
      <c r="J4" s="205"/>
      <c r="K4" s="184"/>
      <c r="L4" s="184"/>
      <c r="M4" s="189"/>
      <c r="N4" s="184"/>
      <c r="O4" s="184"/>
      <c r="P4" s="189"/>
      <c r="Q4" s="189"/>
      <c r="R4" s="189"/>
      <c r="S4" s="184"/>
      <c r="T4" s="205"/>
      <c r="U4" s="205"/>
    </row>
    <row r="5" spans="1:21" s="190" customFormat="1" ht="12.75">
      <c r="A5" s="189"/>
      <c r="B5" s="216" t="s">
        <v>58</v>
      </c>
      <c r="C5" s="259"/>
      <c r="D5" s="189">
        <v>1709.4</v>
      </c>
      <c r="E5" s="186"/>
      <c r="F5" s="205"/>
      <c r="G5" s="209"/>
      <c r="H5" s="205"/>
      <c r="I5" s="209"/>
      <c r="J5" s="205"/>
      <c r="K5" s="184"/>
      <c r="L5" s="184"/>
      <c r="M5" s="189"/>
      <c r="N5" s="184"/>
      <c r="O5" s="184"/>
      <c r="P5" s="189"/>
      <c r="Q5" s="189"/>
      <c r="R5" s="189"/>
      <c r="S5" s="184"/>
      <c r="T5" s="205"/>
      <c r="U5" s="205"/>
    </row>
    <row r="6" spans="1:21" s="193" customFormat="1" ht="15" customHeight="1">
      <c r="A6" s="192"/>
      <c r="B6" s="216" t="s">
        <v>12</v>
      </c>
      <c r="C6" s="260"/>
      <c r="D6" s="379">
        <v>17</v>
      </c>
      <c r="E6" s="192"/>
      <c r="F6" s="206"/>
      <c r="G6" s="209"/>
      <c r="H6" s="206"/>
      <c r="I6" s="209"/>
      <c r="J6" s="206"/>
      <c r="K6" s="185"/>
      <c r="L6" s="185"/>
      <c r="M6" s="192"/>
      <c r="N6" s="185"/>
      <c r="O6" s="185"/>
      <c r="P6" s="192"/>
      <c r="Q6" s="192"/>
      <c r="R6" s="192"/>
      <c r="S6" s="185"/>
      <c r="T6" s="206"/>
      <c r="U6" s="206"/>
    </row>
    <row r="7" spans="2:4" ht="12.75">
      <c r="B7" t="s">
        <v>239</v>
      </c>
      <c r="D7" s="189">
        <v>1177.9</v>
      </c>
    </row>
    <row r="8" spans="2:4" ht="12.75">
      <c r="B8" t="s">
        <v>240</v>
      </c>
      <c r="D8">
        <v>531.5</v>
      </c>
    </row>
    <row r="15" ht="35.25" customHeight="1">
      <c r="C15" s="220" t="s">
        <v>255</v>
      </c>
    </row>
    <row r="18" ht="20.25">
      <c r="C18" s="224"/>
    </row>
    <row r="33" ht="12.75">
      <c r="B33" s="202"/>
    </row>
    <row r="34" ht="12.75">
      <c r="B34" s="203"/>
    </row>
  </sheetData>
  <sheetProtection/>
  <printOptions/>
  <pageMargins left="1" right="1" top="1" bottom="1" header="1" footer="1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125" zoomScaleNormal="125" zoomScalePageLayoutView="0" workbookViewId="0" topLeftCell="C1">
      <selection activeCell="R13" sqref="R13:S13"/>
    </sheetView>
  </sheetViews>
  <sheetFormatPr defaultColWidth="9.00390625" defaultRowHeight="12.75"/>
  <cols>
    <col min="1" max="1" width="3.25390625" style="0" customWidth="1"/>
    <col min="2" max="2" width="26.625" style="0" customWidth="1"/>
    <col min="3" max="4" width="10.625" style="49" customWidth="1"/>
    <col min="5" max="5" width="8.875" style="0" customWidth="1"/>
    <col min="6" max="6" width="11.875" style="49" customWidth="1"/>
    <col min="7" max="7" width="12.125" style="49" customWidth="1"/>
    <col min="8" max="8" width="1.00390625" style="51" customWidth="1"/>
    <col min="9" max="9" width="1.25" style="51" customWidth="1"/>
    <col min="10" max="11" width="1.00390625" style="51" customWidth="1"/>
    <col min="12" max="12" width="12.75390625" style="0" customWidth="1"/>
    <col min="13" max="13" width="1.12109375" style="49" customWidth="1"/>
    <col min="14" max="14" width="0.74609375" style="49" customWidth="1"/>
    <col min="15" max="15" width="16.875" style="0" customWidth="1"/>
    <col min="16" max="16" width="10.875" style="0" customWidth="1"/>
    <col min="17" max="17" width="9.75390625" style="49" customWidth="1"/>
    <col min="18" max="18" width="11.25390625" style="49" customWidth="1"/>
    <col min="19" max="19" width="11.25390625" style="0" customWidth="1"/>
  </cols>
  <sheetData>
    <row r="1" spans="1:19" s="54" customFormat="1" ht="18" customHeight="1">
      <c r="A1" s="52" t="s">
        <v>59</v>
      </c>
      <c r="B1" s="52"/>
      <c r="C1" s="50"/>
      <c r="D1" s="50"/>
      <c r="E1" s="52"/>
      <c r="F1" s="50" t="s">
        <v>60</v>
      </c>
      <c r="G1" s="53"/>
      <c r="H1" s="50"/>
      <c r="I1" s="50"/>
      <c r="J1" s="50"/>
      <c r="K1" s="50"/>
      <c r="L1" s="52"/>
      <c r="M1" s="50"/>
      <c r="N1" s="50"/>
      <c r="O1" s="52"/>
      <c r="P1" s="52"/>
      <c r="Q1" s="50"/>
      <c r="R1" s="50"/>
      <c r="S1" s="52"/>
    </row>
    <row r="2" spans="1:19" s="54" customFormat="1" ht="18.75" customHeight="1">
      <c r="A2" s="52"/>
      <c r="B2" s="129" t="s">
        <v>61</v>
      </c>
      <c r="C2" s="50"/>
      <c r="D2" s="50"/>
      <c r="E2" s="52"/>
      <c r="F2" s="50"/>
      <c r="G2" s="53"/>
      <c r="H2" s="50"/>
      <c r="I2" s="50"/>
      <c r="J2" s="50"/>
      <c r="K2" s="50"/>
      <c r="L2" s="52"/>
      <c r="M2" s="50"/>
      <c r="N2" s="50"/>
      <c r="O2" s="52"/>
      <c r="P2" s="52"/>
      <c r="Q2" s="50"/>
      <c r="R2" s="50"/>
      <c r="S2" s="52"/>
    </row>
    <row r="3" spans="1:19" s="54" customFormat="1" ht="12">
      <c r="A3" s="52"/>
      <c r="B3" s="52" t="s">
        <v>62</v>
      </c>
      <c r="C3" s="55">
        <v>2437.7</v>
      </c>
      <c r="D3" s="55"/>
      <c r="E3" s="52" t="s">
        <v>11</v>
      </c>
      <c r="F3" s="55" t="s">
        <v>63</v>
      </c>
      <c r="G3" s="56">
        <v>79</v>
      </c>
      <c r="H3" s="50"/>
      <c r="I3" s="50"/>
      <c r="J3" s="50"/>
      <c r="K3" s="50"/>
      <c r="L3" s="52"/>
      <c r="M3" s="50"/>
      <c r="N3" s="50"/>
      <c r="O3" s="52"/>
      <c r="P3" s="52"/>
      <c r="Q3" s="50"/>
      <c r="R3" s="50"/>
      <c r="S3" s="52"/>
    </row>
    <row r="4" spans="1:19" s="72" customFormat="1" ht="12">
      <c r="A4" s="67"/>
      <c r="B4" s="67" t="s">
        <v>12</v>
      </c>
      <c r="C4" s="68">
        <v>31</v>
      </c>
      <c r="D4" s="69"/>
      <c r="E4" s="67"/>
      <c r="F4" s="70"/>
      <c r="G4" s="71"/>
      <c r="H4" s="70"/>
      <c r="I4" s="70"/>
      <c r="J4" s="70"/>
      <c r="K4" s="70"/>
      <c r="L4" s="67"/>
      <c r="M4" s="70"/>
      <c r="N4" s="70"/>
      <c r="O4" s="67"/>
      <c r="P4" s="67"/>
      <c r="Q4" s="70"/>
      <c r="R4" s="70"/>
      <c r="S4" s="67"/>
    </row>
    <row r="5" spans="1:19" s="72" customFormat="1" ht="12">
      <c r="A5" s="73" t="s">
        <v>15</v>
      </c>
      <c r="B5" s="74" t="s">
        <v>16</v>
      </c>
      <c r="C5" s="61" t="s">
        <v>17</v>
      </c>
      <c r="D5" s="61" t="s">
        <v>17</v>
      </c>
      <c r="E5" s="75" t="s">
        <v>18</v>
      </c>
      <c r="F5" s="76" t="s">
        <v>19</v>
      </c>
      <c r="G5" s="76" t="s">
        <v>64</v>
      </c>
      <c r="H5" s="77"/>
      <c r="I5" s="77"/>
      <c r="J5" s="77"/>
      <c r="K5" s="77"/>
      <c r="L5" s="76" t="s">
        <v>64</v>
      </c>
      <c r="M5" s="77"/>
      <c r="N5" s="77"/>
      <c r="O5" s="78" t="s">
        <v>65</v>
      </c>
      <c r="P5" s="75" t="s">
        <v>66</v>
      </c>
      <c r="Q5" s="76" t="s">
        <v>67</v>
      </c>
      <c r="R5" s="79" t="s">
        <v>68</v>
      </c>
      <c r="S5" s="80" t="s">
        <v>69</v>
      </c>
    </row>
    <row r="6" spans="1:19" s="72" customFormat="1" ht="12">
      <c r="A6" s="81" t="s">
        <v>20</v>
      </c>
      <c r="B6" s="82"/>
      <c r="C6" s="62" t="s">
        <v>21</v>
      </c>
      <c r="D6" s="62" t="s">
        <v>21</v>
      </c>
      <c r="E6" s="83" t="s">
        <v>22</v>
      </c>
      <c r="F6" s="84" t="s">
        <v>23</v>
      </c>
      <c r="G6" s="84" t="s">
        <v>70</v>
      </c>
      <c r="H6" s="85"/>
      <c r="I6" s="85"/>
      <c r="J6" s="85"/>
      <c r="K6" s="85"/>
      <c r="L6" s="84" t="s">
        <v>71</v>
      </c>
      <c r="M6" s="85"/>
      <c r="N6" s="85"/>
      <c r="O6" s="86" t="s">
        <v>72</v>
      </c>
      <c r="P6" s="87" t="s">
        <v>73</v>
      </c>
      <c r="Q6" s="84" t="s">
        <v>74</v>
      </c>
      <c r="R6" s="88" t="s">
        <v>75</v>
      </c>
      <c r="S6" s="89"/>
    </row>
    <row r="7" spans="1:19" s="72" customFormat="1" ht="12">
      <c r="A7" s="81"/>
      <c r="B7" s="82"/>
      <c r="C7" s="63" t="s">
        <v>76</v>
      </c>
      <c r="D7" s="63" t="s">
        <v>77</v>
      </c>
      <c r="E7" s="83"/>
      <c r="F7" s="84" t="s">
        <v>26</v>
      </c>
      <c r="G7" s="84" t="s">
        <v>78</v>
      </c>
      <c r="H7" s="85" t="s">
        <v>79</v>
      </c>
      <c r="I7" s="85" t="s">
        <v>80</v>
      </c>
      <c r="J7" s="85" t="s">
        <v>81</v>
      </c>
      <c r="K7" s="85" t="s">
        <v>82</v>
      </c>
      <c r="L7" s="84" t="s">
        <v>78</v>
      </c>
      <c r="M7" s="85" t="s">
        <v>83</v>
      </c>
      <c r="N7" s="85" t="s">
        <v>84</v>
      </c>
      <c r="O7" s="90" t="s">
        <v>85</v>
      </c>
      <c r="P7" s="83"/>
      <c r="Q7" s="84" t="s">
        <v>86</v>
      </c>
      <c r="R7" s="88" t="s">
        <v>87</v>
      </c>
      <c r="S7" s="89"/>
    </row>
    <row r="8" spans="1:19" s="72" customFormat="1" ht="12">
      <c r="A8" s="91"/>
      <c r="B8" s="92"/>
      <c r="C8" s="64"/>
      <c r="D8" s="64"/>
      <c r="E8" s="93"/>
      <c r="F8" s="94" t="s">
        <v>88</v>
      </c>
      <c r="G8" s="94" t="s">
        <v>89</v>
      </c>
      <c r="H8" s="95"/>
      <c r="I8" s="95"/>
      <c r="J8" s="95"/>
      <c r="K8" s="95"/>
      <c r="L8" s="94" t="s">
        <v>89</v>
      </c>
      <c r="M8" s="95"/>
      <c r="N8" s="95"/>
      <c r="O8" s="96"/>
      <c r="P8" s="93"/>
      <c r="Q8" s="95" t="s">
        <v>23</v>
      </c>
      <c r="R8" s="97" t="s">
        <v>90</v>
      </c>
      <c r="S8" s="98"/>
    </row>
    <row r="9" spans="1:19" s="72" customFormat="1" ht="12">
      <c r="A9" s="99">
        <v>1</v>
      </c>
      <c r="B9" s="131" t="s">
        <v>29</v>
      </c>
      <c r="C9" s="132"/>
      <c r="D9" s="132"/>
      <c r="E9" s="133"/>
      <c r="F9" s="77"/>
      <c r="G9" s="76">
        <f>SUM(H9:K9)</f>
        <v>33055.19</v>
      </c>
      <c r="H9" s="77">
        <f>6932.13+1056.06+275.61</f>
        <v>8263.800000000001</v>
      </c>
      <c r="I9" s="77">
        <f>6757.38+1230.81+137.8+137.81</f>
        <v>8263.800000000001</v>
      </c>
      <c r="J9" s="77">
        <f>6757.38+1230.81+137.8+137.8</f>
        <v>8263.79</v>
      </c>
      <c r="K9" s="77">
        <f>1230.81+137.8+6757.38+137.81</f>
        <v>8263.8</v>
      </c>
      <c r="L9" s="76">
        <f>M9+N9</f>
        <v>16527.6</v>
      </c>
      <c r="M9" s="77">
        <f>7988.19+275.61</f>
        <v>8263.8</v>
      </c>
      <c r="N9" s="77">
        <f>7988.19+275.61</f>
        <v>8263.8</v>
      </c>
      <c r="O9" s="134" t="s">
        <v>91</v>
      </c>
      <c r="P9" s="133"/>
      <c r="Q9" s="77"/>
      <c r="R9" s="135"/>
      <c r="S9" s="136">
        <f>G9+L9-R10</f>
        <v>0</v>
      </c>
    </row>
    <row r="10" spans="1:19" s="72" customFormat="1" ht="12">
      <c r="A10" s="105"/>
      <c r="B10" s="137" t="s">
        <v>30</v>
      </c>
      <c r="C10" s="64">
        <v>3.39</v>
      </c>
      <c r="D10" s="64">
        <v>3.39</v>
      </c>
      <c r="E10" s="93" t="s">
        <v>92</v>
      </c>
      <c r="F10" s="138">
        <f>C3*C10</f>
        <v>8263.803</v>
      </c>
      <c r="G10" s="94"/>
      <c r="H10" s="95"/>
      <c r="I10" s="95"/>
      <c r="J10" s="95"/>
      <c r="K10" s="95">
        <v>0</v>
      </c>
      <c r="L10" s="94"/>
      <c r="M10" s="95"/>
      <c r="N10" s="95">
        <v>0</v>
      </c>
      <c r="O10" s="96"/>
      <c r="P10" s="93" t="s">
        <v>93</v>
      </c>
      <c r="Q10" s="95"/>
      <c r="R10" s="139">
        <v>49582.79</v>
      </c>
      <c r="S10" s="98"/>
    </row>
    <row r="11" spans="1:19" s="72" customFormat="1" ht="12">
      <c r="A11" s="105">
        <v>2</v>
      </c>
      <c r="B11" s="131" t="s">
        <v>32</v>
      </c>
      <c r="C11" s="132"/>
      <c r="D11" s="132"/>
      <c r="E11" s="133"/>
      <c r="F11" s="77"/>
      <c r="G11" s="76">
        <f>SUM(H11:K11)</f>
        <v>44561.200000000004</v>
      </c>
      <c r="H11" s="77">
        <f>9345.09+1423.67+371.54</f>
        <v>11140.300000000001</v>
      </c>
      <c r="I11" s="77">
        <f>9109.51+1659.25+185.77+185.77</f>
        <v>11140.300000000001</v>
      </c>
      <c r="J11" s="77">
        <f>9109.51+185.77+1659.25+185.77</f>
        <v>11140.300000000001</v>
      </c>
      <c r="K11" s="77">
        <f>1659.25+9109.51+185.77+185.77</f>
        <v>11140.300000000001</v>
      </c>
      <c r="L11" s="76">
        <f>SUM(M11:N11)</f>
        <v>22280.6</v>
      </c>
      <c r="M11" s="77">
        <f>10768.76+371.54</f>
        <v>11140.300000000001</v>
      </c>
      <c r="N11" s="77">
        <v>11140.3</v>
      </c>
      <c r="O11" s="134" t="s">
        <v>91</v>
      </c>
      <c r="P11" s="133"/>
      <c r="Q11" s="77"/>
      <c r="R11" s="135"/>
      <c r="S11" s="136">
        <f>G11+L11-R12</f>
        <v>18941.800000000003</v>
      </c>
    </row>
    <row r="12" spans="1:19" s="72" customFormat="1" ht="12">
      <c r="A12" s="105"/>
      <c r="B12" s="137" t="s">
        <v>33</v>
      </c>
      <c r="C12" s="64">
        <v>4.57</v>
      </c>
      <c r="D12" s="64">
        <v>4.57</v>
      </c>
      <c r="E12" s="93" t="s">
        <v>92</v>
      </c>
      <c r="F12" s="138">
        <f>C3*C12</f>
        <v>11140.289</v>
      </c>
      <c r="G12" s="94">
        <f>H12+I12+J12+K12</f>
        <v>0</v>
      </c>
      <c r="H12" s="95">
        <v>0</v>
      </c>
      <c r="I12" s="95">
        <v>0</v>
      </c>
      <c r="J12" s="95">
        <v>0</v>
      </c>
      <c r="K12" s="95">
        <v>0</v>
      </c>
      <c r="L12" s="94">
        <v>0</v>
      </c>
      <c r="M12" s="95"/>
      <c r="N12" s="95">
        <v>0</v>
      </c>
      <c r="O12" s="96"/>
      <c r="P12" s="140" t="s">
        <v>93</v>
      </c>
      <c r="Q12" s="95"/>
      <c r="R12" s="139">
        <f>C32+C33</f>
        <v>47900</v>
      </c>
      <c r="S12" s="98"/>
    </row>
    <row r="13" spans="1:19" s="72" customFormat="1" ht="12">
      <c r="A13" s="105">
        <v>3</v>
      </c>
      <c r="B13" s="57" t="s">
        <v>94</v>
      </c>
      <c r="C13" s="65">
        <v>0.33</v>
      </c>
      <c r="D13" s="65">
        <v>0.33</v>
      </c>
      <c r="E13" s="100" t="s">
        <v>92</v>
      </c>
      <c r="F13" s="101">
        <f>C3*C13</f>
        <v>804.441</v>
      </c>
      <c r="G13" s="102">
        <f aca="true" t="shared" si="0" ref="G13:G21">SUM(H13:K13)</f>
        <v>3217.7599999999998</v>
      </c>
      <c r="H13" s="101">
        <f>674.81+102.8+26.83</f>
        <v>804.4399999999999</v>
      </c>
      <c r="I13" s="101">
        <f>657.8+119.81+13.41+13.42</f>
        <v>804.4399999999998</v>
      </c>
      <c r="J13" s="101">
        <f>119.81+657.8+13.41+13.42</f>
        <v>804.4399999999998</v>
      </c>
      <c r="K13" s="101">
        <f>13.41+119.81+657.8+13.42</f>
        <v>804.4399999999999</v>
      </c>
      <c r="L13" s="102">
        <f>SUM(M13:N13)</f>
        <v>1608.88</v>
      </c>
      <c r="M13" s="101">
        <f>777.61+26.83</f>
        <v>804.44</v>
      </c>
      <c r="N13" s="101">
        <v>804.44</v>
      </c>
      <c r="O13" s="103" t="s">
        <v>95</v>
      </c>
      <c r="P13" s="100" t="s">
        <v>96</v>
      </c>
      <c r="Q13" s="101">
        <v>800</v>
      </c>
      <c r="R13" s="104">
        <v>1600</v>
      </c>
      <c r="S13" s="65">
        <f>G13+L13-R13</f>
        <v>3226.6399999999994</v>
      </c>
    </row>
    <row r="14" spans="1:19" s="72" customFormat="1" ht="12">
      <c r="A14" s="105">
        <v>4</v>
      </c>
      <c r="B14" s="58" t="s">
        <v>34</v>
      </c>
      <c r="C14" s="63">
        <v>1.29</v>
      </c>
      <c r="D14" s="63">
        <v>1.29</v>
      </c>
      <c r="E14" s="83" t="s">
        <v>92</v>
      </c>
      <c r="F14" s="106">
        <f>C3*C14</f>
        <v>3144.633</v>
      </c>
      <c r="G14" s="84">
        <f t="shared" si="0"/>
        <v>12578.52</v>
      </c>
      <c r="H14" s="85">
        <f>2637.9+401.85+104.88</f>
        <v>3144.63</v>
      </c>
      <c r="I14" s="85">
        <f>2571.4+468.35+52.44+52.44</f>
        <v>3144.63</v>
      </c>
      <c r="J14" s="85">
        <f>468.35+2571.4+52.44+52.44</f>
        <v>3144.63</v>
      </c>
      <c r="K14" s="85">
        <f>52.44+468.35+2571.4+52.44</f>
        <v>3144.63</v>
      </c>
      <c r="L14" s="84">
        <f>M14+N14</f>
        <v>6289.26</v>
      </c>
      <c r="M14" s="85">
        <f>3039.75+104.88</f>
        <v>3144.63</v>
      </c>
      <c r="N14" s="85">
        <v>3144.63</v>
      </c>
      <c r="O14" s="90" t="s">
        <v>91</v>
      </c>
      <c r="P14" s="83" t="s">
        <v>97</v>
      </c>
      <c r="Q14" s="85"/>
      <c r="R14" s="107">
        <v>18867.78</v>
      </c>
      <c r="S14" s="63">
        <f>G14+L14-R14</f>
        <v>0</v>
      </c>
    </row>
    <row r="15" spans="1:19" s="72" customFormat="1" ht="12">
      <c r="A15" s="105">
        <v>5</v>
      </c>
      <c r="B15" s="58" t="s">
        <v>36</v>
      </c>
      <c r="C15" s="63">
        <v>1.27</v>
      </c>
      <c r="D15" s="63">
        <v>1.27</v>
      </c>
      <c r="E15" s="83" t="s">
        <v>92</v>
      </c>
      <c r="F15" s="106">
        <f>(C3-92)*C15</f>
        <v>2979.0389999999998</v>
      </c>
      <c r="G15" s="84">
        <f t="shared" si="0"/>
        <v>11916.24</v>
      </c>
      <c r="H15" s="85">
        <f>2480.18+395.63+103.25</f>
        <v>2979.06</v>
      </c>
      <c r="I15" s="85">
        <f>2414.71+461.1+51.63+51.62</f>
        <v>2979.06</v>
      </c>
      <c r="J15" s="85">
        <f>461.1+2414.71+51.63+51.62</f>
        <v>2979.06</v>
      </c>
      <c r="K15" s="85">
        <f>51.63+461.1+2414.71+51.62</f>
        <v>2979.06</v>
      </c>
      <c r="L15" s="84">
        <f>M15+N15</f>
        <v>5958.12</v>
      </c>
      <c r="M15" s="85">
        <f>2875.81+103.25</f>
        <v>2979.06</v>
      </c>
      <c r="N15" s="85">
        <v>2979.06</v>
      </c>
      <c r="O15" s="90" t="s">
        <v>91</v>
      </c>
      <c r="P15" s="83" t="s">
        <v>97</v>
      </c>
      <c r="Q15" s="85"/>
      <c r="R15" s="107">
        <v>17874.36</v>
      </c>
      <c r="S15" s="63">
        <f>G15+L15-R15</f>
        <v>0</v>
      </c>
    </row>
    <row r="16" spans="1:19" s="72" customFormat="1" ht="12">
      <c r="A16" s="105">
        <v>6</v>
      </c>
      <c r="B16" s="58" t="s">
        <v>38</v>
      </c>
      <c r="C16" s="63">
        <v>2.9</v>
      </c>
      <c r="D16" s="63">
        <v>2.9</v>
      </c>
      <c r="E16" s="83" t="s">
        <v>92</v>
      </c>
      <c r="F16" s="106">
        <f>C3*C16</f>
        <v>7069.329999999999</v>
      </c>
      <c r="G16" s="84">
        <f t="shared" si="0"/>
        <v>28277.36</v>
      </c>
      <c r="H16" s="85">
        <f>5930.13+903.44+235.77</f>
        <v>7069.34</v>
      </c>
      <c r="I16" s="85">
        <f>5780.63+1052.94+117.88+117.89</f>
        <v>7069.34</v>
      </c>
      <c r="J16" s="85">
        <f>1052.94+5780.63+117.88+117.89</f>
        <v>7069.34</v>
      </c>
      <c r="K16" s="85">
        <f>1052.94+117.88+5780.63+117.89</f>
        <v>7069.340000000001</v>
      </c>
      <c r="L16" s="84">
        <f>SUM(M16:N16)</f>
        <v>14138.68</v>
      </c>
      <c r="M16" s="85">
        <f>6833.57+235.77</f>
        <v>7069.34</v>
      </c>
      <c r="N16" s="85">
        <v>7069.34</v>
      </c>
      <c r="O16" s="90" t="s">
        <v>98</v>
      </c>
      <c r="P16" s="83" t="s">
        <v>99</v>
      </c>
      <c r="Q16" s="85"/>
      <c r="R16" s="107"/>
      <c r="S16" s="63">
        <f>G16+L16</f>
        <v>42416.04</v>
      </c>
    </row>
    <row r="17" spans="1:19" s="72" customFormat="1" ht="12">
      <c r="A17" s="105">
        <v>7</v>
      </c>
      <c r="B17" s="58" t="s">
        <v>100</v>
      </c>
      <c r="C17" s="63">
        <v>1.93</v>
      </c>
      <c r="D17" s="63">
        <v>1.93</v>
      </c>
      <c r="E17" s="83" t="s">
        <v>101</v>
      </c>
      <c r="F17" s="85">
        <v>3057.52</v>
      </c>
      <c r="G17" s="84">
        <f t="shared" si="0"/>
        <v>9172.56</v>
      </c>
      <c r="H17" s="85">
        <v>0</v>
      </c>
      <c r="I17" s="85">
        <f>2354.09+509.12+97.16+97.15</f>
        <v>3057.52</v>
      </c>
      <c r="J17" s="85">
        <f>509.12+2354.09+97.16+97.15</f>
        <v>3057.52</v>
      </c>
      <c r="K17" s="85">
        <f>97.16+509.12+2354.09+97.15</f>
        <v>3057.52</v>
      </c>
      <c r="L17" s="84">
        <f>SUM(M17:N17)</f>
        <v>4938.12</v>
      </c>
      <c r="M17" s="85">
        <f>2312.15+156.91</f>
        <v>2469.06</v>
      </c>
      <c r="N17" s="85">
        <v>2469.06</v>
      </c>
      <c r="O17" s="90" t="s">
        <v>102</v>
      </c>
      <c r="P17" s="83" t="s">
        <v>103</v>
      </c>
      <c r="Q17" s="85">
        <v>2267.24</v>
      </c>
      <c r="R17" s="107">
        <f>Q17*5</f>
        <v>11336.199999999999</v>
      </c>
      <c r="S17" s="63">
        <f>G17+L17-R17</f>
        <v>2774.4800000000014</v>
      </c>
    </row>
    <row r="18" spans="1:19" s="72" customFormat="1" ht="12">
      <c r="A18" s="105">
        <v>8</v>
      </c>
      <c r="B18" s="58" t="s">
        <v>104</v>
      </c>
      <c r="C18" s="63">
        <v>0.46</v>
      </c>
      <c r="D18" s="63">
        <v>0.46</v>
      </c>
      <c r="E18" s="83" t="s">
        <v>92</v>
      </c>
      <c r="F18" s="85">
        <f>(C3-92)*C18</f>
        <v>1079.022</v>
      </c>
      <c r="G18" s="84">
        <f t="shared" si="0"/>
        <v>2885.12</v>
      </c>
      <c r="H18" s="85">
        <f>749.67+113.52+37.4</f>
        <v>900.5899999999999</v>
      </c>
      <c r="I18" s="85">
        <f>725.96+137.23+18.7+18.7</f>
        <v>900.5900000000001</v>
      </c>
      <c r="J18" s="85">
        <f>-37.4</f>
        <v>-37.4</v>
      </c>
      <c r="K18" s="85">
        <f>18.7+167.04+916.9+18.7</f>
        <v>1121.34</v>
      </c>
      <c r="L18" s="84">
        <f>M18+N18</f>
        <v>2242.6800000000003</v>
      </c>
      <c r="M18" s="85">
        <f>1083.94+37.4</f>
        <v>1121.3400000000001</v>
      </c>
      <c r="N18" s="85">
        <v>1121.34</v>
      </c>
      <c r="O18" s="90" t="s">
        <v>105</v>
      </c>
      <c r="P18" s="83" t="s">
        <v>93</v>
      </c>
      <c r="Q18" s="85"/>
      <c r="R18" s="107">
        <v>5127.8</v>
      </c>
      <c r="S18" s="63">
        <f>G18+L18-R18</f>
        <v>0</v>
      </c>
    </row>
    <row r="19" spans="1:19" s="72" customFormat="1" ht="12">
      <c r="A19" s="105">
        <v>9</v>
      </c>
      <c r="B19" s="59" t="s">
        <v>106</v>
      </c>
      <c r="C19" s="66">
        <v>0.2</v>
      </c>
      <c r="D19" s="66">
        <v>0.2</v>
      </c>
      <c r="E19" s="109" t="s">
        <v>92</v>
      </c>
      <c r="F19" s="110">
        <f>C3*C19</f>
        <v>487.53999999999996</v>
      </c>
      <c r="G19" s="84">
        <f t="shared" si="0"/>
        <v>1950.16</v>
      </c>
      <c r="H19" s="110">
        <f>408.97+62.31+16.26</f>
        <v>487.54</v>
      </c>
      <c r="I19" s="110">
        <f>398.66+72.62+8.12+8.14</f>
        <v>487.54</v>
      </c>
      <c r="J19" s="110">
        <f>72.62+8.12+398.66+8.14</f>
        <v>487.54</v>
      </c>
      <c r="K19" s="110">
        <f>72.62+8.12+398.66+8.14</f>
        <v>487.54</v>
      </c>
      <c r="L19" s="111">
        <f>M19+N19</f>
        <v>975.0799999999999</v>
      </c>
      <c r="M19" s="110">
        <f>471.28+16.26</f>
        <v>487.53999999999996</v>
      </c>
      <c r="N19" s="110">
        <v>487.54</v>
      </c>
      <c r="O19" s="112" t="s">
        <v>91</v>
      </c>
      <c r="P19" s="109" t="s">
        <v>93</v>
      </c>
      <c r="Q19" s="110">
        <v>487.54</v>
      </c>
      <c r="R19" s="113">
        <v>2925.24</v>
      </c>
      <c r="S19" s="66">
        <f>G19+L19-R19</f>
        <v>0</v>
      </c>
    </row>
    <row r="20" spans="1:19" s="72" customFormat="1" ht="12">
      <c r="A20" s="105"/>
      <c r="B20" s="60" t="s">
        <v>107</v>
      </c>
      <c r="C20" s="66"/>
      <c r="D20" s="66"/>
      <c r="E20" s="109"/>
      <c r="F20" s="115">
        <f>F10+F12+F13+F14+F15+F16+F17+F18+F19</f>
        <v>38025.61699999999</v>
      </c>
      <c r="G20" s="115">
        <f t="shared" si="0"/>
        <v>147614.11000000002</v>
      </c>
      <c r="H20" s="115">
        <f>H9+H11+H13+H14+H15+H16+H17+H18+H19</f>
        <v>34789.700000000004</v>
      </c>
      <c r="I20" s="115">
        <f>I9+I11+I13+I14+I15+I16+I17+I18+I19</f>
        <v>37847.22000000001</v>
      </c>
      <c r="J20" s="115">
        <f>J9+J11+J13+J14+J15+J16+J17+J18+J19</f>
        <v>36909.22</v>
      </c>
      <c r="K20" s="115">
        <f>K9+K11+K13+K14+K15+K16+K17+K18+K19</f>
        <v>38067.969999999994</v>
      </c>
      <c r="L20" s="111">
        <f>M20+N20</f>
        <v>74959.01999999999</v>
      </c>
      <c r="M20" s="115">
        <f>M9+M11+M13+M14+M15+M16+M17+M18+M19</f>
        <v>37479.51</v>
      </c>
      <c r="N20" s="115">
        <f>N9+N11+N13+N14+N15+N16+N17+N18+N19</f>
        <v>37479.509999999995</v>
      </c>
      <c r="O20" s="112"/>
      <c r="P20" s="109"/>
      <c r="Q20" s="110"/>
      <c r="R20" s="113"/>
      <c r="S20" s="114"/>
    </row>
    <row r="21" spans="1:19" s="72" customFormat="1" ht="12">
      <c r="A21" s="105">
        <v>10</v>
      </c>
      <c r="B21" s="58" t="s">
        <v>108</v>
      </c>
      <c r="C21" s="63" t="s">
        <v>109</v>
      </c>
      <c r="D21" s="63" t="s">
        <v>110</v>
      </c>
      <c r="E21" s="83" t="s">
        <v>111</v>
      </c>
      <c r="F21" s="85">
        <v>0</v>
      </c>
      <c r="G21" s="84">
        <f t="shared" si="0"/>
        <v>57433.09</v>
      </c>
      <c r="H21" s="85">
        <f>11279.03+1834.58+1199.16</f>
        <v>14312.77</v>
      </c>
      <c r="I21" s="85">
        <f>12414.91+1133.04+372.64+372.64+254+74.54+74.54+50.8</f>
        <v>14747.11</v>
      </c>
      <c r="J21" s="85">
        <f>774.47+11169.56+372.64+372.64+254+74.54+74.54+50.8</f>
        <v>13143.189999999999</v>
      </c>
      <c r="K21" s="85">
        <f>2082.29+372.64+372.64+254+11948.57+74.54+74.54+50.8</f>
        <v>15230.02</v>
      </c>
      <c r="L21" s="84">
        <f>M21+N21</f>
        <v>32797.43</v>
      </c>
      <c r="M21" s="85">
        <f>14552.53+527.82+527.82+359.76</f>
        <v>15967.93</v>
      </c>
      <c r="N21" s="85">
        <f>15414.1+527.82+527.82+359.76</f>
        <v>16829.5</v>
      </c>
      <c r="O21" s="90" t="s">
        <v>112</v>
      </c>
      <c r="P21" s="83" t="s">
        <v>113</v>
      </c>
      <c r="Q21" s="85"/>
      <c r="R21" s="107">
        <f>37804.06+7330.83+10841.68+30444.86</f>
        <v>86421.43</v>
      </c>
      <c r="S21" s="63">
        <f>G21+L21-R21</f>
        <v>3809.0899999999965</v>
      </c>
    </row>
    <row r="22" spans="1:19" s="72" customFormat="1" ht="12">
      <c r="A22" s="105"/>
      <c r="B22" s="58" t="s">
        <v>114</v>
      </c>
      <c r="C22" s="63">
        <v>11.14</v>
      </c>
      <c r="D22" s="63">
        <v>13.15</v>
      </c>
      <c r="E22" s="83" t="s">
        <v>115</v>
      </c>
      <c r="F22" s="106">
        <v>0</v>
      </c>
      <c r="G22" s="84"/>
      <c r="H22" s="85"/>
      <c r="I22" s="85">
        <v>0</v>
      </c>
      <c r="J22" s="85">
        <v>0</v>
      </c>
      <c r="K22" s="85">
        <v>0</v>
      </c>
      <c r="L22" s="84"/>
      <c r="M22" s="85">
        <v>0</v>
      </c>
      <c r="N22" s="85">
        <v>0</v>
      </c>
      <c r="O22" s="90" t="s">
        <v>112</v>
      </c>
      <c r="P22" s="83"/>
      <c r="Q22" s="85"/>
      <c r="R22" s="107"/>
      <c r="S22" s="108"/>
    </row>
    <row r="23" spans="1:19" s="72" customFormat="1" ht="12">
      <c r="A23" s="105"/>
      <c r="B23" s="58" t="s">
        <v>116</v>
      </c>
      <c r="C23" s="63">
        <v>11.14</v>
      </c>
      <c r="D23" s="63">
        <v>13.15</v>
      </c>
      <c r="E23" s="83" t="s">
        <v>115</v>
      </c>
      <c r="F23" s="106">
        <v>0</v>
      </c>
      <c r="G23" s="84"/>
      <c r="H23" s="85"/>
      <c r="I23" s="85">
        <v>0</v>
      </c>
      <c r="J23" s="85">
        <v>0</v>
      </c>
      <c r="K23" s="85">
        <v>0</v>
      </c>
      <c r="L23" s="84"/>
      <c r="M23" s="85">
        <v>0</v>
      </c>
      <c r="N23" s="85">
        <v>0</v>
      </c>
      <c r="O23" s="90" t="s">
        <v>112</v>
      </c>
      <c r="P23" s="83"/>
      <c r="Q23" s="85"/>
      <c r="R23" s="107"/>
      <c r="S23" s="108"/>
    </row>
    <row r="24" spans="1:19" s="72" customFormat="1" ht="11.25">
      <c r="A24" s="105">
        <v>11</v>
      </c>
      <c r="B24" s="58" t="s">
        <v>117</v>
      </c>
      <c r="C24" s="63" t="s">
        <v>118</v>
      </c>
      <c r="D24" s="63" t="s">
        <v>119</v>
      </c>
      <c r="E24" s="83" t="s">
        <v>111</v>
      </c>
      <c r="F24" s="106">
        <v>0</v>
      </c>
      <c r="G24" s="84">
        <f>SUM(H24:K24)</f>
        <v>57673.83</v>
      </c>
      <c r="H24" s="85">
        <f>11946.17+2007.02+1306.14</f>
        <v>15259.33</v>
      </c>
      <c r="I24" s="85">
        <f>10953.49+1136.22+1044.6+217.7</f>
        <v>13352.01</v>
      </c>
      <c r="J24" s="85">
        <f>730.32+11850.45+1010.9+222.94</f>
        <v>13814.61</v>
      </c>
      <c r="K24" s="85">
        <f>2248.58+1088.44+11693.16+217.7</f>
        <v>15247.880000000001</v>
      </c>
      <c r="L24" s="84">
        <f>M24+N24</f>
        <v>35266</v>
      </c>
      <c r="M24" s="85">
        <f>15715.11+1528.32</f>
        <v>17243.43</v>
      </c>
      <c r="N24" s="85">
        <f>16494.25+1528.32</f>
        <v>18022.57</v>
      </c>
      <c r="O24" s="90" t="s">
        <v>120</v>
      </c>
      <c r="P24" s="83" t="s">
        <v>121</v>
      </c>
      <c r="Q24" s="85" t="s">
        <v>122</v>
      </c>
      <c r="R24" s="107">
        <v>240950.71</v>
      </c>
      <c r="S24" s="63">
        <f>G24+G25+L24+L25-R24</f>
        <v>59450.840000000055</v>
      </c>
    </row>
    <row r="25" spans="1:19" s="72" customFormat="1" ht="11.25">
      <c r="A25" s="105">
        <v>12</v>
      </c>
      <c r="B25" s="58" t="s">
        <v>48</v>
      </c>
      <c r="C25" s="63">
        <v>13.29</v>
      </c>
      <c r="D25" s="63">
        <v>16.85</v>
      </c>
      <c r="E25" s="83" t="s">
        <v>92</v>
      </c>
      <c r="F25" s="106">
        <f>D25*C3</f>
        <v>41075.245</v>
      </c>
      <c r="G25" s="84">
        <f>SUM(H25:K25)</f>
        <v>125311.08</v>
      </c>
      <c r="H25" s="85">
        <f>27519.24+3671.01+1080.48</f>
        <v>32270.73</v>
      </c>
      <c r="I25" s="85">
        <f>24907.26+4356.11+795.96+222.94</f>
        <v>30282.269999999997</v>
      </c>
      <c r="J25" s="85">
        <f>4356.11+25157.89+750.41+222.94</f>
        <v>30487.35</v>
      </c>
      <c r="K25" s="85">
        <f>4356.11+857.54+26834.14+222.94</f>
        <v>32270.73</v>
      </c>
      <c r="L25" s="84">
        <f>M25+N25</f>
        <v>82150.64000000001</v>
      </c>
      <c r="M25" s="85">
        <f>39705.41+1369.91</f>
        <v>41075.32000000001</v>
      </c>
      <c r="N25" s="85">
        <f>39705.41+1369.91</f>
        <v>41075.32000000001</v>
      </c>
      <c r="O25" s="90" t="s">
        <v>120</v>
      </c>
      <c r="P25" s="83" t="s">
        <v>121</v>
      </c>
      <c r="Q25" s="85"/>
      <c r="R25" s="107"/>
      <c r="S25" s="108"/>
    </row>
    <row r="26" spans="1:19" s="72" customFormat="1" ht="11.25">
      <c r="A26" s="105">
        <v>13</v>
      </c>
      <c r="B26" s="58" t="s">
        <v>49</v>
      </c>
      <c r="C26" s="63">
        <v>28.08</v>
      </c>
      <c r="D26" s="63">
        <v>31.14</v>
      </c>
      <c r="E26" s="83" t="s">
        <v>123</v>
      </c>
      <c r="F26" s="85">
        <v>2416.06</v>
      </c>
      <c r="G26" s="84">
        <f>SUM(H26:K26)</f>
        <v>8357.23</v>
      </c>
      <c r="H26" s="85">
        <f>1668.34+269.18+28.08</f>
        <v>1965.6</v>
      </c>
      <c r="I26" s="85">
        <f>1755+189.64+140.4+28.08</f>
        <v>2113.12</v>
      </c>
      <c r="J26" s="85">
        <f>136.71+1755+140.4+28.08</f>
        <v>2060.19</v>
      </c>
      <c r="K26" s="85">
        <f>294.84+140.4+1755+28.08</f>
        <v>2218.3199999999997</v>
      </c>
      <c r="L26" s="84">
        <f>M26+N26</f>
        <v>4920.12</v>
      </c>
      <c r="M26" s="85">
        <f>2273.22+186.84</f>
        <v>2460.06</v>
      </c>
      <c r="N26" s="85">
        <f>2273.22+186.84</f>
        <v>2460.06</v>
      </c>
      <c r="O26" s="90" t="s">
        <v>124</v>
      </c>
      <c r="P26" s="83"/>
      <c r="Q26" s="85"/>
      <c r="R26" s="107">
        <v>6344.59</v>
      </c>
      <c r="S26" s="63">
        <f>G26+L26-R26</f>
        <v>6932.759999999998</v>
      </c>
    </row>
    <row r="27" spans="1:19" s="72" customFormat="1" ht="11.25">
      <c r="A27" s="105">
        <v>14</v>
      </c>
      <c r="B27" s="58" t="s">
        <v>125</v>
      </c>
      <c r="C27" s="63">
        <v>0</v>
      </c>
      <c r="D27" s="63">
        <v>0</v>
      </c>
      <c r="E27" s="83" t="s">
        <v>92</v>
      </c>
      <c r="F27" s="85">
        <v>0</v>
      </c>
      <c r="G27" s="84"/>
      <c r="H27" s="85">
        <v>0</v>
      </c>
      <c r="I27" s="85">
        <v>0</v>
      </c>
      <c r="J27" s="85">
        <v>0</v>
      </c>
      <c r="K27" s="85">
        <v>0</v>
      </c>
      <c r="L27" s="84"/>
      <c r="M27" s="85">
        <v>0</v>
      </c>
      <c r="N27" s="85">
        <v>0</v>
      </c>
      <c r="O27" s="90"/>
      <c r="P27" s="83"/>
      <c r="Q27" s="85"/>
      <c r="R27" s="107"/>
      <c r="S27" s="63">
        <f>G27+L27-R27</f>
        <v>0</v>
      </c>
    </row>
    <row r="28" spans="1:19" s="72" customFormat="1" ht="11.25">
      <c r="A28" s="105"/>
      <c r="B28" s="116" t="s">
        <v>126</v>
      </c>
      <c r="C28" s="117"/>
      <c r="D28" s="117" t="s">
        <v>127</v>
      </c>
      <c r="E28" s="118"/>
      <c r="F28" s="119"/>
      <c r="G28" s="119">
        <f>G20+G21+G24+G25+G26+G27</f>
        <v>396389.34</v>
      </c>
      <c r="H28" s="120">
        <f>H20+H21+H24+H25+H26</f>
        <v>98598.13</v>
      </c>
      <c r="I28" s="120">
        <f>I20+I21+I24+I25+I26</f>
        <v>98341.73000000001</v>
      </c>
      <c r="J28" s="120">
        <f>J20+J21+J24+J25+J26</f>
        <v>96414.56</v>
      </c>
      <c r="K28" s="120">
        <f>K20+K21+K24+K25+K26</f>
        <v>103034.91999999998</v>
      </c>
      <c r="L28" s="119">
        <f>L20+L21+L24+L25+L26</f>
        <v>230093.21</v>
      </c>
      <c r="M28" s="120">
        <f>SUM(M21:M27)+M20</f>
        <v>114226.25</v>
      </c>
      <c r="N28" s="120">
        <f>SUM(N21:N27)+N20</f>
        <v>115866.96</v>
      </c>
      <c r="O28" s="121"/>
      <c r="P28" s="118"/>
      <c r="Q28" s="120"/>
      <c r="R28" s="122">
        <f>SUM(R9:R27)</f>
        <v>488930.89999999997</v>
      </c>
      <c r="S28" s="130">
        <f>S9+S11+S13+S14+S15+S16+S17+S18+S19+S21+S24+S26+S27</f>
        <v>137551.65000000005</v>
      </c>
    </row>
    <row r="29" spans="1:19" s="72" customFormat="1" ht="11.25">
      <c r="A29" s="124"/>
      <c r="B29" s="125"/>
      <c r="C29" s="117"/>
      <c r="D29" s="117"/>
      <c r="E29" s="126"/>
      <c r="F29" s="120"/>
      <c r="G29" s="119"/>
      <c r="H29" s="120"/>
      <c r="I29" s="120"/>
      <c r="J29" s="120"/>
      <c r="K29" s="120"/>
      <c r="L29" s="118"/>
      <c r="M29" s="120"/>
      <c r="N29" s="120"/>
      <c r="O29" s="127"/>
      <c r="P29" s="118"/>
      <c r="Q29" s="120"/>
      <c r="R29" s="128"/>
      <c r="S29" s="123"/>
    </row>
    <row r="30" spans="1:19" s="72" customFormat="1" ht="11.25">
      <c r="A30" s="87" t="s">
        <v>128</v>
      </c>
      <c r="B30" s="100"/>
      <c r="C30" s="101"/>
      <c r="D30" s="101"/>
      <c r="E30" s="100"/>
      <c r="F30" s="102" t="s">
        <v>129</v>
      </c>
      <c r="G30" s="102"/>
      <c r="H30" s="101"/>
      <c r="I30" s="101"/>
      <c r="J30" s="101"/>
      <c r="K30" s="101"/>
      <c r="L30" s="100"/>
      <c r="M30" s="101"/>
      <c r="N30" s="101"/>
      <c r="O30" s="100"/>
      <c r="P30" s="100"/>
      <c r="Q30" s="101"/>
      <c r="R30" s="102" t="s">
        <v>130</v>
      </c>
      <c r="S30" s="100"/>
    </row>
    <row r="31" ht="12.75">
      <c r="B31" s="141" t="s">
        <v>131</v>
      </c>
    </row>
    <row r="32" spans="2:3" ht="12.75">
      <c r="B32" s="144" t="s">
        <v>132</v>
      </c>
      <c r="C32" s="142">
        <v>28500</v>
      </c>
    </row>
    <row r="33" spans="2:3" ht="12.75">
      <c r="B33" s="144" t="s">
        <v>133</v>
      </c>
      <c r="C33" s="143">
        <v>19400</v>
      </c>
    </row>
    <row r="34" ht="12.75">
      <c r="B34" s="145" t="s">
        <v>134</v>
      </c>
    </row>
    <row r="35" ht="12.75">
      <c r="B35" s="141" t="s">
        <v>135</v>
      </c>
    </row>
    <row r="36" spans="2:5" ht="12.75">
      <c r="B36" s="146" t="s">
        <v>136</v>
      </c>
      <c r="C36" s="147" t="s">
        <v>137</v>
      </c>
      <c r="D36" s="148"/>
      <c r="E36" s="149"/>
    </row>
    <row r="37" spans="3:5" ht="12.75">
      <c r="C37" s="150" t="s">
        <v>138</v>
      </c>
      <c r="D37" s="151"/>
      <c r="E37" s="152"/>
    </row>
    <row r="38" spans="3:5" ht="12.75">
      <c r="C38" s="150" t="s">
        <v>139</v>
      </c>
      <c r="D38" s="151"/>
      <c r="E38" s="152"/>
    </row>
    <row r="39" spans="3:5" ht="12.75">
      <c r="C39" s="150" t="s">
        <v>140</v>
      </c>
      <c r="D39" s="151"/>
      <c r="E39" s="152"/>
    </row>
    <row r="40" spans="3:5" ht="12.75">
      <c r="C40" s="150" t="s">
        <v>141</v>
      </c>
      <c r="D40" s="151"/>
      <c r="E40" s="152"/>
    </row>
    <row r="41" spans="3:5" ht="12.75">
      <c r="C41" s="153" t="s">
        <v>142</v>
      </c>
      <c r="D41" s="154"/>
      <c r="E41" s="155"/>
    </row>
    <row r="42" spans="2:5" ht="12.75">
      <c r="B42" s="158" t="s">
        <v>143</v>
      </c>
      <c r="C42" s="161" t="s">
        <v>144</v>
      </c>
      <c r="D42" s="161"/>
      <c r="E42" s="158">
        <v>450.4</v>
      </c>
    </row>
    <row r="43" spans="3:6" ht="12.75">
      <c r="C43" s="49" t="s">
        <v>17</v>
      </c>
      <c r="D43" s="49" t="s">
        <v>23</v>
      </c>
      <c r="F43" s="49" t="s">
        <v>145</v>
      </c>
    </row>
    <row r="44" spans="2:6" ht="12.75">
      <c r="B44" s="156" t="s">
        <v>29</v>
      </c>
      <c r="C44" s="163">
        <v>3.39</v>
      </c>
      <c r="D44" s="164">
        <f>C44*E42</f>
        <v>1526.856</v>
      </c>
      <c r="E44" s="165"/>
      <c r="F44" s="166">
        <f>D44*6</f>
        <v>9161.136</v>
      </c>
    </row>
    <row r="45" spans="2:6" ht="12.75">
      <c r="B45" s="157" t="s">
        <v>30</v>
      </c>
      <c r="C45" s="167"/>
      <c r="D45" s="168"/>
      <c r="E45" s="169"/>
      <c r="F45" s="170"/>
    </row>
    <row r="46" spans="2:6" ht="12.75">
      <c r="B46" s="156" t="s">
        <v>32</v>
      </c>
      <c r="C46" s="163">
        <v>4.57</v>
      </c>
      <c r="D46" s="164">
        <f>C46*E42</f>
        <v>2058.328</v>
      </c>
      <c r="E46" s="165"/>
      <c r="F46" s="166">
        <f>D46*6</f>
        <v>12349.968</v>
      </c>
    </row>
    <row r="47" spans="2:6" ht="12.75">
      <c r="B47" s="157" t="s">
        <v>33</v>
      </c>
      <c r="C47" s="167"/>
      <c r="D47" s="168"/>
      <c r="E47" s="169"/>
      <c r="F47" s="170"/>
    </row>
    <row r="48" spans="2:6" ht="12.75">
      <c r="B48" s="171" t="s">
        <v>34</v>
      </c>
      <c r="C48" s="172">
        <v>1.29</v>
      </c>
      <c r="D48" s="173">
        <f>C48*E42</f>
        <v>581.016</v>
      </c>
      <c r="E48" s="174"/>
      <c r="F48" s="175">
        <f>D48*6</f>
        <v>3486.0959999999995</v>
      </c>
    </row>
    <row r="49" spans="2:6" ht="12.75">
      <c r="B49" s="171" t="s">
        <v>106</v>
      </c>
      <c r="C49" s="172">
        <v>0.2</v>
      </c>
      <c r="D49" s="173">
        <f>C49*E42</f>
        <v>90.08</v>
      </c>
      <c r="E49" s="174"/>
      <c r="F49" s="175">
        <f>D49*6</f>
        <v>540.48</v>
      </c>
    </row>
    <row r="50" spans="2:18" s="160" customFormat="1" ht="12.75">
      <c r="B50" s="176" t="s">
        <v>107</v>
      </c>
      <c r="C50" s="159"/>
      <c r="D50" s="177">
        <f>D44+D46+D48+D49</f>
        <v>4256.28</v>
      </c>
      <c r="E50" s="178"/>
      <c r="F50" s="179">
        <f>F44+F46+F48+F49</f>
        <v>25537.679999999997</v>
      </c>
      <c r="G50" s="159"/>
      <c r="H50" s="162"/>
      <c r="I50" s="162"/>
      <c r="J50" s="162"/>
      <c r="K50" s="162"/>
      <c r="M50" s="159"/>
      <c r="N50" s="159"/>
      <c r="Q50" s="159"/>
      <c r="R50" s="159"/>
    </row>
    <row r="51" spans="2:6" ht="12.75">
      <c r="B51" s="171" t="s">
        <v>48</v>
      </c>
      <c r="C51" s="180" t="s">
        <v>146</v>
      </c>
      <c r="D51" s="181" t="s">
        <v>147</v>
      </c>
      <c r="E51" s="182"/>
      <c r="F51" s="183">
        <f>9746.66*4+10719.52*2</f>
        <v>60425.68</v>
      </c>
    </row>
  </sheetData>
  <sheetProtection/>
  <printOptions/>
  <pageMargins left="1" right="1" top="1" bottom="1" header="1" footer="1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0" zoomScaleNormal="70" zoomScalePageLayoutView="0" workbookViewId="0" topLeftCell="A13">
      <selection activeCell="M25" sqref="M25"/>
    </sheetView>
  </sheetViews>
  <sheetFormatPr defaultColWidth="9.00390625" defaultRowHeight="12.75"/>
  <cols>
    <col min="1" max="1" width="8.75390625" style="343" customWidth="1"/>
    <col min="2" max="2" width="35.375" style="196" customWidth="1"/>
    <col min="3" max="3" width="15.75390625" style="234" customWidth="1"/>
    <col min="4" max="4" width="14.25390625" style="233" customWidth="1"/>
    <col min="5" max="5" width="14.00390625" style="233" customWidth="1"/>
    <col min="6" max="6" width="13.625" style="233" customWidth="1"/>
    <col min="7" max="7" width="16.00390625" style="233" customWidth="1"/>
    <col min="8" max="8" width="14.875" style="233" customWidth="1"/>
    <col min="9" max="9" width="14.625" style="235" customWidth="1"/>
    <col min="10" max="10" width="15.75390625" style="236" customWidth="1"/>
    <col min="11" max="11" width="13.875" style="237" customWidth="1"/>
    <col min="12" max="12" width="22.375" style="344" customWidth="1"/>
    <col min="13" max="13" width="17.625" style="208" customWidth="1"/>
    <col min="14" max="14" width="17.25390625" style="214" hidden="1" customWidth="1"/>
    <col min="15" max="15" width="11.00390625" style="196" hidden="1" customWidth="1"/>
    <col min="16" max="16384" width="9.125" style="196" customWidth="1"/>
  </cols>
  <sheetData>
    <row r="1" spans="1:15" s="193" customFormat="1" ht="27.75" customHeight="1">
      <c r="A1" s="342"/>
      <c r="B1" s="479" t="s">
        <v>148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311"/>
      <c r="O1" s="310"/>
    </row>
    <row r="2" spans="1:15" s="225" customFormat="1" ht="21" customHeight="1">
      <c r="A2" s="315" t="s">
        <v>15</v>
      </c>
      <c r="B2" s="312" t="s">
        <v>16</v>
      </c>
      <c r="C2" s="313" t="s">
        <v>149</v>
      </c>
      <c r="D2" s="313" t="s">
        <v>149</v>
      </c>
      <c r="E2" s="380" t="s">
        <v>150</v>
      </c>
      <c r="F2" s="380" t="s">
        <v>151</v>
      </c>
      <c r="G2" s="314" t="s">
        <v>149</v>
      </c>
      <c r="H2" s="314" t="s">
        <v>149</v>
      </c>
      <c r="I2" s="429" t="s">
        <v>150</v>
      </c>
      <c r="J2" s="429" t="s">
        <v>151</v>
      </c>
      <c r="K2" s="314" t="s">
        <v>153</v>
      </c>
      <c r="L2" s="315" t="s">
        <v>65</v>
      </c>
      <c r="M2" s="316" t="s">
        <v>68</v>
      </c>
      <c r="N2" s="317" t="s">
        <v>152</v>
      </c>
      <c r="O2" s="310"/>
    </row>
    <row r="3" spans="1:15" s="225" customFormat="1" ht="21" customHeight="1">
      <c r="A3" s="315" t="s">
        <v>20</v>
      </c>
      <c r="B3" s="318"/>
      <c r="C3" s="313" t="s">
        <v>155</v>
      </c>
      <c r="D3" s="313" t="s">
        <v>155</v>
      </c>
      <c r="E3" s="380" t="s">
        <v>156</v>
      </c>
      <c r="F3" s="380" t="s">
        <v>156</v>
      </c>
      <c r="G3" s="347" t="s">
        <v>143</v>
      </c>
      <c r="H3" s="347" t="s">
        <v>143</v>
      </c>
      <c r="I3" s="429" t="s">
        <v>143</v>
      </c>
      <c r="J3" s="429" t="s">
        <v>143</v>
      </c>
      <c r="K3" s="314" t="s">
        <v>151</v>
      </c>
      <c r="L3" s="315" t="s">
        <v>72</v>
      </c>
      <c r="M3" s="316" t="s">
        <v>75</v>
      </c>
      <c r="N3" s="319" t="s">
        <v>157</v>
      </c>
      <c r="O3" s="310"/>
    </row>
    <row r="4" spans="1:15" s="225" customFormat="1" ht="15">
      <c r="A4" s="315"/>
      <c r="B4" s="318"/>
      <c r="C4" s="313" t="s">
        <v>158</v>
      </c>
      <c r="D4" s="314" t="s">
        <v>159</v>
      </c>
      <c r="E4" s="380" t="s">
        <v>160</v>
      </c>
      <c r="F4" s="380" t="s">
        <v>160</v>
      </c>
      <c r="G4" s="314" t="s">
        <v>158</v>
      </c>
      <c r="H4" s="314" t="s">
        <v>159</v>
      </c>
      <c r="I4" s="429" t="s">
        <v>160</v>
      </c>
      <c r="J4" s="429" t="s">
        <v>160</v>
      </c>
      <c r="K4" s="314" t="s">
        <v>160</v>
      </c>
      <c r="L4" s="318"/>
      <c r="M4" s="316" t="s">
        <v>87</v>
      </c>
      <c r="N4" s="320"/>
      <c r="O4" s="310"/>
    </row>
    <row r="5" spans="1:15" s="225" customFormat="1" ht="15">
      <c r="A5" s="315"/>
      <c r="B5" s="318"/>
      <c r="C5" s="313" t="s">
        <v>161</v>
      </c>
      <c r="D5" s="313" t="s">
        <v>162</v>
      </c>
      <c r="E5" s="380"/>
      <c r="F5" s="380"/>
      <c r="G5" s="314" t="s">
        <v>161</v>
      </c>
      <c r="H5" s="314" t="s">
        <v>161</v>
      </c>
      <c r="I5" s="429"/>
      <c r="J5" s="430"/>
      <c r="K5" s="321"/>
      <c r="L5" s="318"/>
      <c r="M5" s="316" t="s">
        <v>163</v>
      </c>
      <c r="N5" s="322"/>
      <c r="O5" s="310"/>
    </row>
    <row r="6" spans="1:15" s="225" customFormat="1" ht="29.25" customHeight="1" hidden="1">
      <c r="A6" s="480" t="s">
        <v>164</v>
      </c>
      <c r="B6" s="481"/>
      <c r="C6" s="323" t="e">
        <f>C7+C12+C13+#REF!+C14+C15+C16+C17+C18</f>
        <v>#REF!</v>
      </c>
      <c r="D6" s="323" t="e">
        <f>D7+D12+D13+#REF!+D14+D15+D16+D17+D18</f>
        <v>#REF!</v>
      </c>
      <c r="E6" s="381">
        <v>687587.95</v>
      </c>
      <c r="F6" s="381">
        <v>553570.98</v>
      </c>
      <c r="G6" s="323"/>
      <c r="H6" s="323"/>
      <c r="I6" s="431"/>
      <c r="J6" s="432"/>
      <c r="K6" s="324">
        <f aca="true" t="shared" si="0" ref="K6:K14">F6+J6</f>
        <v>553570.98</v>
      </c>
      <c r="L6" s="345" t="s">
        <v>165</v>
      </c>
      <c r="M6" s="325">
        <f>E6+I6</f>
        <v>687587.95</v>
      </c>
      <c r="N6" s="326"/>
      <c r="O6" s="310"/>
    </row>
    <row r="7" spans="1:15" s="225" customFormat="1" ht="31.5">
      <c r="A7" s="332">
        <v>1</v>
      </c>
      <c r="B7" s="434" t="s">
        <v>166</v>
      </c>
      <c r="C7" s="435">
        <v>9.47</v>
      </c>
      <c r="D7" s="436">
        <v>9.59</v>
      </c>
      <c r="E7" s="437">
        <v>135693.23</v>
      </c>
      <c r="F7" s="438">
        <v>116033.92</v>
      </c>
      <c r="G7" s="435">
        <v>9.47</v>
      </c>
      <c r="H7" s="435">
        <v>9.59</v>
      </c>
      <c r="I7" s="439">
        <v>27176.6</v>
      </c>
      <c r="J7" s="439">
        <v>10082.93</v>
      </c>
      <c r="K7" s="436">
        <v>6818.34</v>
      </c>
      <c r="L7" s="434" t="s">
        <v>180</v>
      </c>
      <c r="M7" s="440">
        <f>E7+I7</f>
        <v>162869.83000000002</v>
      </c>
      <c r="N7" s="326"/>
      <c r="O7" s="310"/>
    </row>
    <row r="8" spans="1:17" s="225" customFormat="1" ht="78.75">
      <c r="A8" s="327" t="s">
        <v>167</v>
      </c>
      <c r="B8" s="441" t="s">
        <v>253</v>
      </c>
      <c r="C8" s="442">
        <v>3.87</v>
      </c>
      <c r="D8" s="442">
        <v>3.76</v>
      </c>
      <c r="E8" s="438">
        <f>(E7*40.9)/100</f>
        <v>55498.53107</v>
      </c>
      <c r="F8" s="438">
        <f>(F7*40.9)/100</f>
        <v>47457.87328</v>
      </c>
      <c r="G8" s="435">
        <f>C8</f>
        <v>3.87</v>
      </c>
      <c r="H8" s="435">
        <f>D8</f>
        <v>3.76</v>
      </c>
      <c r="I8" s="439">
        <v>0</v>
      </c>
      <c r="J8" s="439">
        <v>0</v>
      </c>
      <c r="K8" s="436">
        <f>F8+J8</f>
        <v>47457.87328</v>
      </c>
      <c r="L8" s="443" t="s">
        <v>169</v>
      </c>
      <c r="M8" s="440">
        <f>E8+I8</f>
        <v>55498.53107</v>
      </c>
      <c r="N8" s="328"/>
      <c r="O8" s="329">
        <f>E10+I10</f>
        <v>51020.654480000005</v>
      </c>
      <c r="Q8" s="308"/>
    </row>
    <row r="9" spans="1:15" s="225" customFormat="1" ht="31.5">
      <c r="A9" s="330" t="s">
        <v>170</v>
      </c>
      <c r="B9" s="444" t="s">
        <v>171</v>
      </c>
      <c r="C9" s="445">
        <v>1.45</v>
      </c>
      <c r="D9" s="433">
        <v>1.68</v>
      </c>
      <c r="E9" s="438">
        <f>(E7*15.3)/100</f>
        <v>20761.06419</v>
      </c>
      <c r="F9" s="438">
        <f>(F7*15.3)/100</f>
        <v>17753.18976</v>
      </c>
      <c r="G9" s="435">
        <f aca="true" t="shared" si="1" ref="G9:G17">C9</f>
        <v>1.45</v>
      </c>
      <c r="H9" s="435">
        <f aca="true" t="shared" si="2" ref="H9:H18">D9</f>
        <v>1.68</v>
      </c>
      <c r="I9" s="439">
        <v>0</v>
      </c>
      <c r="J9" s="439">
        <v>0</v>
      </c>
      <c r="K9" s="436">
        <f t="shared" si="0"/>
        <v>17753.18976</v>
      </c>
      <c r="L9" s="446" t="s">
        <v>169</v>
      </c>
      <c r="M9" s="440">
        <f>E9+I9</f>
        <v>20761.06419</v>
      </c>
      <c r="N9" s="328"/>
      <c r="O9" s="310"/>
    </row>
    <row r="10" spans="1:15" s="225" customFormat="1" ht="31.5">
      <c r="A10" s="330" t="s">
        <v>172</v>
      </c>
      <c r="B10" s="447" t="s">
        <v>173</v>
      </c>
      <c r="C10" s="433">
        <v>3.56</v>
      </c>
      <c r="D10" s="433">
        <v>3.56</v>
      </c>
      <c r="E10" s="438">
        <f>(E7*37.6)/100</f>
        <v>51020.654480000005</v>
      </c>
      <c r="F10" s="438">
        <f>(F7*37.6)/100</f>
        <v>43628.75392</v>
      </c>
      <c r="G10" s="435">
        <f t="shared" si="1"/>
        <v>3.56</v>
      </c>
      <c r="H10" s="435">
        <f t="shared" si="2"/>
        <v>3.56</v>
      </c>
      <c r="I10" s="439">
        <v>0</v>
      </c>
      <c r="J10" s="439">
        <v>0</v>
      </c>
      <c r="K10" s="436">
        <f t="shared" si="0"/>
        <v>43628.75392</v>
      </c>
      <c r="L10" s="446" t="s">
        <v>238</v>
      </c>
      <c r="M10" s="440">
        <v>6440.4</v>
      </c>
      <c r="N10" s="328"/>
      <c r="O10" s="310">
        <v>88000</v>
      </c>
    </row>
    <row r="11" spans="1:15" s="225" customFormat="1" ht="31.5">
      <c r="A11" s="330" t="s">
        <v>175</v>
      </c>
      <c r="B11" s="447" t="s">
        <v>176</v>
      </c>
      <c r="C11" s="433">
        <v>0.59</v>
      </c>
      <c r="D11" s="433">
        <v>0.59</v>
      </c>
      <c r="E11" s="448">
        <f>(E7*6.2)/100</f>
        <v>8412.98026</v>
      </c>
      <c r="F11" s="438">
        <f>(F7*6.2)/100</f>
        <v>7194.10304</v>
      </c>
      <c r="G11" s="435">
        <f t="shared" si="1"/>
        <v>0.59</v>
      </c>
      <c r="H11" s="435">
        <f t="shared" si="2"/>
        <v>0.59</v>
      </c>
      <c r="I11" s="449">
        <v>0</v>
      </c>
      <c r="J11" s="439">
        <v>0</v>
      </c>
      <c r="K11" s="436">
        <f t="shared" si="0"/>
        <v>7194.10304</v>
      </c>
      <c r="L11" s="446" t="s">
        <v>169</v>
      </c>
      <c r="M11" s="440">
        <f>E11+I11</f>
        <v>8412.98026</v>
      </c>
      <c r="N11" s="328"/>
      <c r="O11" s="329">
        <f>O8-O10</f>
        <v>-36979.345519999995</v>
      </c>
    </row>
    <row r="12" spans="1:15" s="225" customFormat="1" ht="31.5">
      <c r="A12" s="315">
        <v>2</v>
      </c>
      <c r="B12" s="441" t="s">
        <v>177</v>
      </c>
      <c r="C12" s="450">
        <v>0.81</v>
      </c>
      <c r="D12" s="450">
        <v>0.59</v>
      </c>
      <c r="E12" s="451">
        <v>9695.83</v>
      </c>
      <c r="F12" s="451">
        <v>8343.87</v>
      </c>
      <c r="G12" s="435">
        <f t="shared" si="1"/>
        <v>0.81</v>
      </c>
      <c r="H12" s="435">
        <f t="shared" si="2"/>
        <v>0.59</v>
      </c>
      <c r="I12" s="452">
        <v>0</v>
      </c>
      <c r="J12" s="453">
        <v>0</v>
      </c>
      <c r="K12" s="454">
        <f t="shared" si="0"/>
        <v>8343.87</v>
      </c>
      <c r="L12" s="443" t="s">
        <v>178</v>
      </c>
      <c r="M12" s="455">
        <f>E12+I12</f>
        <v>9695.83</v>
      </c>
      <c r="N12" s="331">
        <f>M12-F12</f>
        <v>1351.9599999999991</v>
      </c>
      <c r="O12" s="310"/>
    </row>
    <row r="13" spans="1:15" s="225" customFormat="1" ht="35.25" customHeight="1">
      <c r="A13" s="382">
        <v>3</v>
      </c>
      <c r="B13" s="456" t="s">
        <v>179</v>
      </c>
      <c r="C13" s="457">
        <v>5.08</v>
      </c>
      <c r="D13" s="458">
        <v>5.08</v>
      </c>
      <c r="E13" s="451">
        <v>72255.84</v>
      </c>
      <c r="F13" s="451">
        <v>60802.1</v>
      </c>
      <c r="G13" s="435">
        <f t="shared" si="1"/>
        <v>5.08</v>
      </c>
      <c r="H13" s="435">
        <f t="shared" si="2"/>
        <v>5.08</v>
      </c>
      <c r="I13" s="452">
        <v>13882.12</v>
      </c>
      <c r="J13" s="453">
        <v>3453.36</v>
      </c>
      <c r="K13" s="436">
        <f>F13+J13</f>
        <v>64255.46</v>
      </c>
      <c r="L13" s="459" t="s">
        <v>180</v>
      </c>
      <c r="M13" s="460">
        <f>E13+I13</f>
        <v>86137.95999999999</v>
      </c>
      <c r="N13" s="333" t="s">
        <v>127</v>
      </c>
      <c r="O13" s="310"/>
    </row>
    <row r="14" spans="1:15" s="225" customFormat="1" ht="31.5">
      <c r="A14" s="346">
        <v>4</v>
      </c>
      <c r="B14" s="461" t="s">
        <v>182</v>
      </c>
      <c r="C14" s="450">
        <v>1.29</v>
      </c>
      <c r="D14" s="462">
        <v>1.41</v>
      </c>
      <c r="E14" s="451">
        <v>19344.14</v>
      </c>
      <c r="F14" s="451">
        <v>15517.84</v>
      </c>
      <c r="G14" s="435">
        <f t="shared" si="1"/>
        <v>1.29</v>
      </c>
      <c r="H14" s="435">
        <f t="shared" si="2"/>
        <v>1.41</v>
      </c>
      <c r="I14" s="452">
        <v>3721.31</v>
      </c>
      <c r="J14" s="453">
        <v>1464.52</v>
      </c>
      <c r="K14" s="454">
        <f t="shared" si="0"/>
        <v>16982.36</v>
      </c>
      <c r="L14" s="443" t="s">
        <v>180</v>
      </c>
      <c r="M14" s="455">
        <f>E14+I14</f>
        <v>23065.45</v>
      </c>
      <c r="N14" s="333">
        <f>M14-F14</f>
        <v>7547.610000000001</v>
      </c>
      <c r="O14" s="310"/>
    </row>
    <row r="15" spans="1:17" s="225" customFormat="1" ht="32.25" customHeight="1">
      <c r="A15" s="315">
        <v>5</v>
      </c>
      <c r="B15" s="463" t="s">
        <v>183</v>
      </c>
      <c r="C15" s="450">
        <v>0.53</v>
      </c>
      <c r="D15" s="450">
        <v>0.34</v>
      </c>
      <c r="E15" s="451">
        <v>5962.17</v>
      </c>
      <c r="F15" s="451">
        <v>5143.48</v>
      </c>
      <c r="G15" s="435">
        <f t="shared" si="1"/>
        <v>0.53</v>
      </c>
      <c r="H15" s="435">
        <f t="shared" si="2"/>
        <v>0.34</v>
      </c>
      <c r="I15" s="452">
        <v>0</v>
      </c>
      <c r="J15" s="453">
        <v>0</v>
      </c>
      <c r="K15" s="454">
        <f>F15+J15</f>
        <v>5143.48</v>
      </c>
      <c r="L15" s="443" t="s">
        <v>184</v>
      </c>
      <c r="M15" s="455">
        <v>6936</v>
      </c>
      <c r="N15" s="320">
        <f>M15-F15</f>
        <v>1792.5200000000004</v>
      </c>
      <c r="O15" s="310"/>
      <c r="Q15" s="309"/>
    </row>
    <row r="16" spans="1:15" s="225" customFormat="1" ht="30.75" customHeight="1">
      <c r="A16" s="382">
        <v>6</v>
      </c>
      <c r="B16" s="463" t="s">
        <v>185</v>
      </c>
      <c r="C16" s="450">
        <v>5.08</v>
      </c>
      <c r="D16" s="462">
        <f>C16</f>
        <v>5.08</v>
      </c>
      <c r="E16" s="451">
        <v>7965.12</v>
      </c>
      <c r="F16" s="451">
        <v>6812.7</v>
      </c>
      <c r="G16" s="435">
        <f t="shared" si="1"/>
        <v>5.08</v>
      </c>
      <c r="H16" s="435">
        <f t="shared" si="2"/>
        <v>5.08</v>
      </c>
      <c r="I16" s="452">
        <v>0</v>
      </c>
      <c r="J16" s="453">
        <v>0</v>
      </c>
      <c r="K16" s="454">
        <f>F16+J16</f>
        <v>6812.7</v>
      </c>
      <c r="L16" s="443" t="s">
        <v>186</v>
      </c>
      <c r="M16" s="455">
        <v>7953.84</v>
      </c>
      <c r="N16" s="320">
        <f>M16-F16</f>
        <v>1141.1400000000003</v>
      </c>
      <c r="O16" s="310"/>
    </row>
    <row r="17" spans="1:15" s="225" customFormat="1" ht="34.5" customHeight="1">
      <c r="A17" s="346">
        <v>7</v>
      </c>
      <c r="B17" s="463" t="s">
        <v>187</v>
      </c>
      <c r="C17" s="450">
        <v>2.5</v>
      </c>
      <c r="D17" s="462">
        <v>2.5</v>
      </c>
      <c r="E17" s="451">
        <v>35559</v>
      </c>
      <c r="F17" s="451">
        <v>30186.32</v>
      </c>
      <c r="G17" s="435">
        <f t="shared" si="1"/>
        <v>2.5</v>
      </c>
      <c r="H17" s="435">
        <f t="shared" si="2"/>
        <v>2.5</v>
      </c>
      <c r="I17" s="452">
        <v>0</v>
      </c>
      <c r="J17" s="453">
        <v>0</v>
      </c>
      <c r="K17" s="454">
        <f>F17+J17</f>
        <v>30186.32</v>
      </c>
      <c r="L17" s="443" t="s">
        <v>188</v>
      </c>
      <c r="M17" s="455">
        <f>E17+I17</f>
        <v>35559</v>
      </c>
      <c r="N17" s="320">
        <f>M17-F17</f>
        <v>5372.68</v>
      </c>
      <c r="O17" s="310"/>
    </row>
    <row r="18" spans="1:15" s="225" customFormat="1" ht="31.5" customHeight="1">
      <c r="A18" s="315">
        <v>8</v>
      </c>
      <c r="B18" s="434" t="s">
        <v>254</v>
      </c>
      <c r="C18" s="457">
        <v>1.18</v>
      </c>
      <c r="D18" s="458">
        <f>C18</f>
        <v>1.18</v>
      </c>
      <c r="E18" s="464">
        <v>16783.8</v>
      </c>
      <c r="F18" s="464">
        <v>14355.54</v>
      </c>
      <c r="G18" s="457">
        <v>1.18</v>
      </c>
      <c r="H18" s="435">
        <f t="shared" si="2"/>
        <v>1.18</v>
      </c>
      <c r="I18" s="465">
        <v>3224.59</v>
      </c>
      <c r="J18" s="466">
        <v>802.14</v>
      </c>
      <c r="K18" s="436">
        <f>F18+J18</f>
        <v>15157.68</v>
      </c>
      <c r="L18" s="459" t="s">
        <v>180</v>
      </c>
      <c r="M18" s="440">
        <f>E18+I18</f>
        <v>20008.39</v>
      </c>
      <c r="N18" s="320">
        <f>M18-F18</f>
        <v>5652.8499999999985</v>
      </c>
      <c r="O18" s="310"/>
    </row>
    <row r="19" spans="1:15" s="225" customFormat="1" ht="18" customHeight="1">
      <c r="A19" s="382">
        <v>9</v>
      </c>
      <c r="B19" s="467" t="s">
        <v>190</v>
      </c>
      <c r="C19" s="450" t="s">
        <v>191</v>
      </c>
      <c r="D19" s="450" t="s">
        <v>191</v>
      </c>
      <c r="E19" s="468"/>
      <c r="F19" s="468"/>
      <c r="G19" s="450" t="s">
        <v>191</v>
      </c>
      <c r="H19" s="450" t="s">
        <v>191</v>
      </c>
      <c r="I19" s="469">
        <f>SUM(I12:I18)+I7</f>
        <v>48004.619999999995</v>
      </c>
      <c r="J19" s="469">
        <f>SUM(J12:J18)+J7</f>
        <v>15802.95</v>
      </c>
      <c r="K19" s="470">
        <f>SUM(K12:K18)+K7</f>
        <v>153700.21</v>
      </c>
      <c r="L19" s="471"/>
      <c r="M19" s="472">
        <f>SUM(M12:M18)+M7</f>
        <v>352226.3</v>
      </c>
      <c r="N19" s="334">
        <f>SUM(N12:N18)+N7</f>
        <v>22858.76</v>
      </c>
      <c r="O19" s="310"/>
    </row>
    <row r="20" spans="1:15" s="225" customFormat="1" ht="31.5">
      <c r="A20" s="346">
        <v>10</v>
      </c>
      <c r="B20" s="473" t="s">
        <v>192</v>
      </c>
      <c r="C20" s="450">
        <v>21.03</v>
      </c>
      <c r="D20" s="462">
        <v>23.13</v>
      </c>
      <c r="E20" s="451">
        <v>25871.83</v>
      </c>
      <c r="F20" s="451">
        <v>21349.79</v>
      </c>
      <c r="G20" s="450">
        <v>21.03</v>
      </c>
      <c r="H20" s="450">
        <v>23.13</v>
      </c>
      <c r="I20" s="452">
        <v>2619.48</v>
      </c>
      <c r="J20" s="453">
        <v>207.99</v>
      </c>
      <c r="K20" s="454">
        <f>F20+J20</f>
        <v>21557.780000000002</v>
      </c>
      <c r="L20" s="463" t="s">
        <v>193</v>
      </c>
      <c r="M20" s="455">
        <v>26167.42</v>
      </c>
      <c r="N20" s="333">
        <f>M20-F20</f>
        <v>4817.629999999997</v>
      </c>
      <c r="O20" s="335"/>
    </row>
    <row r="21" spans="1:15" s="225" customFormat="1" ht="31.5">
      <c r="A21" s="315">
        <v>11</v>
      </c>
      <c r="B21" s="473" t="s">
        <v>194</v>
      </c>
      <c r="C21" s="450">
        <v>21.03</v>
      </c>
      <c r="D21" s="462">
        <v>23.13</v>
      </c>
      <c r="E21" s="451">
        <v>65316.03</v>
      </c>
      <c r="F21" s="451">
        <v>53950.41</v>
      </c>
      <c r="G21" s="450">
        <v>21.03</v>
      </c>
      <c r="H21" s="450">
        <v>23.13</v>
      </c>
      <c r="I21" s="452">
        <v>4774.11</v>
      </c>
      <c r="J21" s="453">
        <v>499.9</v>
      </c>
      <c r="K21" s="454">
        <f>F21+J21</f>
        <v>54450.310000000005</v>
      </c>
      <c r="L21" s="463" t="s">
        <v>193</v>
      </c>
      <c r="M21" s="455">
        <v>76955.21</v>
      </c>
      <c r="N21" s="322">
        <f>M21-F21</f>
        <v>23004.800000000003</v>
      </c>
      <c r="O21" s="310"/>
    </row>
    <row r="22" spans="1:15" s="225" customFormat="1" ht="22.5" customHeight="1">
      <c r="A22" s="382">
        <v>12</v>
      </c>
      <c r="B22" s="474" t="s">
        <v>195</v>
      </c>
      <c r="C22" s="462" t="s">
        <v>237</v>
      </c>
      <c r="D22" s="450" t="s">
        <v>196</v>
      </c>
      <c r="E22" s="451">
        <v>8237.08</v>
      </c>
      <c r="F22" s="451">
        <v>6491.84</v>
      </c>
      <c r="G22" s="462" t="s">
        <v>237</v>
      </c>
      <c r="H22" s="450" t="s">
        <v>196</v>
      </c>
      <c r="I22" s="452">
        <v>1499.05</v>
      </c>
      <c r="J22" s="453">
        <v>353.39</v>
      </c>
      <c r="K22" s="454">
        <f>F22+J22</f>
        <v>6845.2300000000005</v>
      </c>
      <c r="L22" s="475" t="s">
        <v>197</v>
      </c>
      <c r="M22" s="455">
        <v>11986.5</v>
      </c>
      <c r="N22" s="333">
        <f>M22-F22</f>
        <v>5494.66</v>
      </c>
      <c r="O22" s="310"/>
    </row>
    <row r="23" spans="1:16" s="225" customFormat="1" ht="22.5" customHeight="1">
      <c r="A23" s="346">
        <v>13</v>
      </c>
      <c r="B23" s="475" t="s">
        <v>198</v>
      </c>
      <c r="C23" s="450">
        <v>1408.01</v>
      </c>
      <c r="D23" s="462">
        <v>1541.78</v>
      </c>
      <c r="E23" s="451">
        <v>337402.67</v>
      </c>
      <c r="F23" s="451">
        <v>281889.37</v>
      </c>
      <c r="G23" s="450">
        <v>1408.01</v>
      </c>
      <c r="H23" s="450">
        <v>1541.78</v>
      </c>
      <c r="I23" s="452">
        <v>56303.62</v>
      </c>
      <c r="J23" s="453">
        <v>16346.61</v>
      </c>
      <c r="K23" s="454">
        <f>F23+J23</f>
        <v>298235.98</v>
      </c>
      <c r="L23" s="475" t="s">
        <v>199</v>
      </c>
      <c r="M23" s="455">
        <v>513779.19</v>
      </c>
      <c r="N23" s="328">
        <f>M23-F23</f>
        <v>231889.82</v>
      </c>
      <c r="O23" s="310"/>
      <c r="P23" s="196"/>
    </row>
    <row r="24" spans="1:16" s="225" customFormat="1" ht="22.5" customHeight="1">
      <c r="A24" s="315">
        <v>14</v>
      </c>
      <c r="B24" s="475" t="s">
        <v>236</v>
      </c>
      <c r="C24" s="450">
        <v>84.48</v>
      </c>
      <c r="D24" s="462">
        <v>92.51</v>
      </c>
      <c r="E24" s="451">
        <v>112620.46</v>
      </c>
      <c r="F24" s="451">
        <v>87950.39</v>
      </c>
      <c r="G24" s="450">
        <v>84.48</v>
      </c>
      <c r="H24" s="450">
        <v>92.51</v>
      </c>
      <c r="I24" s="452">
        <v>5509.49</v>
      </c>
      <c r="J24" s="453">
        <v>985.49</v>
      </c>
      <c r="K24" s="454">
        <f>F24+J24</f>
        <v>88935.88</v>
      </c>
      <c r="L24" s="475" t="s">
        <v>199</v>
      </c>
      <c r="M24" s="455">
        <v>0</v>
      </c>
      <c r="N24" s="328">
        <f>M24-F24</f>
        <v>-87950.39</v>
      </c>
      <c r="O24" s="310"/>
      <c r="P24" s="196"/>
    </row>
    <row r="25" spans="1:15" s="225" customFormat="1" ht="18" customHeight="1">
      <c r="A25" s="315"/>
      <c r="B25" s="467" t="s">
        <v>200</v>
      </c>
      <c r="C25" s="470" t="s">
        <v>127</v>
      </c>
      <c r="D25" s="470" t="s">
        <v>127</v>
      </c>
      <c r="E25" s="468">
        <f>SUM(E20:E24)</f>
        <v>549448.07</v>
      </c>
      <c r="F25" s="468">
        <f>SUM(F20:F24)</f>
        <v>451631.80000000005</v>
      </c>
      <c r="G25" s="470"/>
      <c r="H25" s="470"/>
      <c r="I25" s="469">
        <f>SUM(I20:I24)</f>
        <v>70705.75</v>
      </c>
      <c r="J25" s="469">
        <f>SUM(J20:J24)</f>
        <v>18393.38</v>
      </c>
      <c r="K25" s="470">
        <f>SUM(K20:K24)</f>
        <v>470025.18</v>
      </c>
      <c r="L25" s="471"/>
      <c r="M25" s="472">
        <f>SUM(M20:O24)</f>
        <v>806144.84</v>
      </c>
      <c r="N25" s="322"/>
      <c r="O25" s="310"/>
    </row>
    <row r="26" spans="1:15" s="225" customFormat="1" ht="18" customHeight="1">
      <c r="A26" s="315"/>
      <c r="B26" s="467" t="s">
        <v>126</v>
      </c>
      <c r="C26" s="470" t="s">
        <v>127</v>
      </c>
      <c r="D26" s="470" t="s">
        <v>127</v>
      </c>
      <c r="E26" s="468">
        <f>E19+E25</f>
        <v>549448.07</v>
      </c>
      <c r="F26" s="468">
        <f>F19+F25</f>
        <v>451631.80000000005</v>
      </c>
      <c r="G26" s="470"/>
      <c r="H26" s="470"/>
      <c r="I26" s="469">
        <f>I19+I25</f>
        <v>118710.37</v>
      </c>
      <c r="J26" s="469">
        <f>J19+J25</f>
        <v>34196.33</v>
      </c>
      <c r="K26" s="470">
        <f>K19+K25</f>
        <v>623725.39</v>
      </c>
      <c r="L26" s="471"/>
      <c r="M26" s="472">
        <f>M25+M19</f>
        <v>1158371.14</v>
      </c>
      <c r="N26" s="334">
        <f>SUM(N19:N25)</f>
        <v>200115.28000000003</v>
      </c>
      <c r="O26" s="310"/>
    </row>
    <row r="27" spans="1:15" s="193" customFormat="1" ht="15" hidden="1">
      <c r="A27" s="476" t="s">
        <v>201</v>
      </c>
      <c r="B27" s="476"/>
      <c r="C27" s="476"/>
      <c r="D27" s="476"/>
      <c r="E27" s="476"/>
      <c r="F27" s="476"/>
      <c r="G27" s="349"/>
      <c r="H27" s="349"/>
      <c r="I27" s="336"/>
      <c r="J27" s="478">
        <v>186515.87</v>
      </c>
      <c r="K27" s="337"/>
      <c r="L27" s="338"/>
      <c r="M27" s="339"/>
      <c r="N27" s="340"/>
      <c r="O27" s="310"/>
    </row>
    <row r="28" spans="1:15" s="193" customFormat="1" ht="15" hidden="1">
      <c r="A28" s="477"/>
      <c r="B28" s="477"/>
      <c r="C28" s="477"/>
      <c r="D28" s="477"/>
      <c r="E28" s="477"/>
      <c r="F28" s="477"/>
      <c r="G28" s="349"/>
      <c r="H28" s="349"/>
      <c r="I28" s="336"/>
      <c r="J28" s="478"/>
      <c r="K28" s="337"/>
      <c r="L28" s="338"/>
      <c r="M28" s="339"/>
      <c r="N28" s="340"/>
      <c r="O28" s="310"/>
    </row>
    <row r="29" spans="1:15" ht="44.25" customHeight="1" hidden="1">
      <c r="A29" s="477"/>
      <c r="B29" s="477"/>
      <c r="C29" s="477"/>
      <c r="D29" s="477"/>
      <c r="E29" s="477"/>
      <c r="F29" s="477"/>
      <c r="G29" s="349"/>
      <c r="H29" s="349"/>
      <c r="I29" s="341"/>
      <c r="J29" s="341"/>
      <c r="K29" s="329"/>
      <c r="L29" s="310"/>
      <c r="M29" s="311"/>
      <c r="N29" s="311"/>
      <c r="O29" s="310"/>
    </row>
    <row r="30" spans="2:3" ht="12.75">
      <c r="B30" s="197"/>
      <c r="C30" s="233"/>
    </row>
  </sheetData>
  <sheetProtection/>
  <mergeCells count="4">
    <mergeCell ref="A27:F29"/>
    <mergeCell ref="J27:J28"/>
    <mergeCell ref="B1:M1"/>
    <mergeCell ref="A6:B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="75" zoomScaleNormal="75" zoomScalePageLayoutView="0" workbookViewId="0" topLeftCell="A1">
      <selection activeCell="K2" sqref="K2"/>
    </sheetView>
  </sheetViews>
  <sheetFormatPr defaultColWidth="9.00390625" defaultRowHeight="12.75"/>
  <cols>
    <col min="1" max="1" width="8.75390625" style="196" customWidth="1"/>
    <col min="2" max="2" width="41.625" style="196" customWidth="1"/>
    <col min="3" max="3" width="15.625" style="234" customWidth="1"/>
    <col min="4" max="4" width="15.25390625" style="233" customWidth="1"/>
    <col min="5" max="5" width="14.00390625" style="233" hidden="1" customWidth="1"/>
    <col min="6" max="6" width="14.625" style="233" hidden="1" customWidth="1"/>
    <col min="7" max="7" width="15.375" style="236" hidden="1" customWidth="1"/>
    <col min="8" max="8" width="16.875" style="235" customWidth="1"/>
    <col min="9" max="9" width="17.125" style="236" customWidth="1"/>
    <col min="10" max="10" width="15.375" style="236" customWidth="1"/>
    <col min="11" max="11" width="17.375" style="237" hidden="1" customWidth="1"/>
    <col min="12" max="12" width="17.375" style="237" customWidth="1"/>
    <col min="13" max="13" width="24.375" style="196" customWidth="1"/>
    <col min="14" max="14" width="13.875" style="208" customWidth="1"/>
    <col min="15" max="15" width="17.25390625" style="214" hidden="1" customWidth="1"/>
    <col min="16" max="16" width="11.00390625" style="196" hidden="1" customWidth="1"/>
    <col min="17" max="16384" width="9.125" style="196" customWidth="1"/>
  </cols>
  <sheetData>
    <row r="1" spans="1:15" s="193" customFormat="1" ht="27.75" customHeight="1">
      <c r="A1" s="192"/>
      <c r="B1" s="502" t="s">
        <v>148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206"/>
    </row>
    <row r="2" spans="1:15" s="225" customFormat="1" ht="21" customHeight="1">
      <c r="A2" s="241" t="s">
        <v>15</v>
      </c>
      <c r="B2" s="194" t="s">
        <v>16</v>
      </c>
      <c r="C2" s="239" t="s">
        <v>149</v>
      </c>
      <c r="D2" s="239" t="s">
        <v>149</v>
      </c>
      <c r="E2" s="238" t="s">
        <v>150</v>
      </c>
      <c r="F2" s="238" t="s">
        <v>151</v>
      </c>
      <c r="G2" s="238" t="s">
        <v>152</v>
      </c>
      <c r="H2" s="238" t="s">
        <v>150</v>
      </c>
      <c r="I2" s="238" t="s">
        <v>151</v>
      </c>
      <c r="J2" s="238" t="s">
        <v>152</v>
      </c>
      <c r="K2" s="244" t="s">
        <v>153</v>
      </c>
      <c r="L2" s="244" t="s">
        <v>154</v>
      </c>
      <c r="M2" s="282" t="s">
        <v>65</v>
      </c>
      <c r="N2" s="276" t="s">
        <v>68</v>
      </c>
      <c r="O2" s="228" t="s">
        <v>152</v>
      </c>
    </row>
    <row r="3" spans="1:15" s="225" customFormat="1" ht="21" customHeight="1">
      <c r="A3" s="241" t="s">
        <v>20</v>
      </c>
      <c r="B3" s="187"/>
      <c r="C3" s="239" t="s">
        <v>155</v>
      </c>
      <c r="D3" s="239" t="s">
        <v>155</v>
      </c>
      <c r="E3" s="238" t="s">
        <v>156</v>
      </c>
      <c r="F3" s="238" t="s">
        <v>156</v>
      </c>
      <c r="G3" s="240" t="s">
        <v>156</v>
      </c>
      <c r="H3" s="238" t="s">
        <v>143</v>
      </c>
      <c r="I3" s="238" t="s">
        <v>143</v>
      </c>
      <c r="J3" s="238" t="s">
        <v>143</v>
      </c>
      <c r="K3" s="238" t="s">
        <v>151</v>
      </c>
      <c r="L3" s="238" t="s">
        <v>152</v>
      </c>
      <c r="M3" s="282" t="s">
        <v>72</v>
      </c>
      <c r="N3" s="276" t="s">
        <v>75</v>
      </c>
      <c r="O3" s="210" t="s">
        <v>157</v>
      </c>
    </row>
    <row r="4" spans="1:15" s="225" customFormat="1" ht="12.75">
      <c r="A4" s="241"/>
      <c r="B4" s="187"/>
      <c r="C4" s="239" t="s">
        <v>158</v>
      </c>
      <c r="D4" s="238" t="s">
        <v>159</v>
      </c>
      <c r="E4" s="244" t="s">
        <v>160</v>
      </c>
      <c r="F4" s="244" t="s">
        <v>160</v>
      </c>
      <c r="G4" s="243" t="s">
        <v>160</v>
      </c>
      <c r="H4" s="243" t="s">
        <v>160</v>
      </c>
      <c r="I4" s="244" t="s">
        <v>160</v>
      </c>
      <c r="J4" s="244" t="s">
        <v>160</v>
      </c>
      <c r="K4" s="244" t="s">
        <v>160</v>
      </c>
      <c r="L4" s="244" t="s">
        <v>160</v>
      </c>
      <c r="M4" s="284" t="s">
        <v>85</v>
      </c>
      <c r="N4" s="276" t="s">
        <v>87</v>
      </c>
      <c r="O4" s="211"/>
    </row>
    <row r="5" spans="1:15" s="225" customFormat="1" ht="12.75">
      <c r="A5" s="269"/>
      <c r="B5" s="187"/>
      <c r="C5" s="246" t="s">
        <v>161</v>
      </c>
      <c r="D5" s="246" t="s">
        <v>162</v>
      </c>
      <c r="E5" s="238"/>
      <c r="F5" s="238"/>
      <c r="G5" s="243"/>
      <c r="H5" s="240"/>
      <c r="I5" s="248"/>
      <c r="J5" s="244"/>
      <c r="K5" s="288"/>
      <c r="L5" s="288"/>
      <c r="M5" s="284"/>
      <c r="N5" s="276" t="s">
        <v>163</v>
      </c>
      <c r="O5" s="212"/>
    </row>
    <row r="6" spans="1:15" s="225" customFormat="1" ht="29.25" customHeight="1" hidden="1">
      <c r="A6" s="503" t="s">
        <v>164</v>
      </c>
      <c r="B6" s="504"/>
      <c r="C6" s="298" t="e">
        <f>C7+C12+C13+C15+C17+C18+C19+C20+C21</f>
        <v>#REF!</v>
      </c>
      <c r="D6" s="298" t="e">
        <f>D7+D12+D13+D15+D17+D18+D19+D20+D21</f>
        <v>#REF!</v>
      </c>
      <c r="E6" s="298">
        <v>687587.95</v>
      </c>
      <c r="F6" s="298">
        <v>553570.98</v>
      </c>
      <c r="G6" s="248" t="e">
        <f>E6-F6+#REF!</f>
        <v>#REF!</v>
      </c>
      <c r="H6" s="298"/>
      <c r="I6" s="272"/>
      <c r="J6" s="272">
        <f>H6-I6</f>
        <v>0</v>
      </c>
      <c r="K6" s="272">
        <f aca="true" t="shared" si="0" ref="K6:K13">F6+I6</f>
        <v>553570.98</v>
      </c>
      <c r="L6" s="272" t="e">
        <f aca="true" t="shared" si="1" ref="L6:L11">J6+G6</f>
        <v>#REF!</v>
      </c>
      <c r="M6" s="304" t="s">
        <v>165</v>
      </c>
      <c r="N6" s="297">
        <f>E6+H6</f>
        <v>687587.95</v>
      </c>
      <c r="O6" s="221"/>
    </row>
    <row r="7" spans="1:15" s="225" customFormat="1" ht="35.25" customHeight="1">
      <c r="A7" s="302">
        <v>1</v>
      </c>
      <c r="B7" s="303" t="s">
        <v>166</v>
      </c>
      <c r="C7" s="298">
        <v>9.47</v>
      </c>
      <c r="D7" s="298">
        <v>9.59</v>
      </c>
      <c r="E7" s="298">
        <v>342109.56</v>
      </c>
      <c r="F7" s="298">
        <v>281630.56</v>
      </c>
      <c r="G7" s="248">
        <f aca="true" t="shared" si="2" ref="G7:G13">E7-F7</f>
        <v>60479</v>
      </c>
      <c r="H7" s="298">
        <f>(1935.77*12)+(303.33*12)</f>
        <v>26869.199999999997</v>
      </c>
      <c r="I7" s="298">
        <f>H7</f>
        <v>26869.199999999997</v>
      </c>
      <c r="J7" s="298" t="e">
        <f>(C7+D7)/2*J6/((C6+D6)/2)</f>
        <v>#REF!</v>
      </c>
      <c r="K7" s="272">
        <f t="shared" si="0"/>
        <v>308499.76</v>
      </c>
      <c r="L7" s="272" t="e">
        <f t="shared" si="1"/>
        <v>#REF!</v>
      </c>
      <c r="M7" s="304" t="s">
        <v>165</v>
      </c>
      <c r="N7" s="297">
        <f>E7+H7</f>
        <v>368978.76</v>
      </c>
      <c r="O7" s="221"/>
    </row>
    <row r="8" spans="1:18" s="225" customFormat="1" ht="69" customHeight="1">
      <c r="A8" s="305" t="s">
        <v>167</v>
      </c>
      <c r="B8" s="277" t="s">
        <v>168</v>
      </c>
      <c r="C8" s="281">
        <v>3.87</v>
      </c>
      <c r="D8" s="281">
        <v>3.76</v>
      </c>
      <c r="E8" s="298">
        <f>(C8+D8)/2*E7/((C7+D7)/2)</f>
        <v>136951.5185099685</v>
      </c>
      <c r="F8" s="298">
        <f>(C8+D8)/2*F7/((C7+D7)/2)</f>
        <v>112740.87999999998</v>
      </c>
      <c r="G8" s="248">
        <f t="shared" si="2"/>
        <v>24210.63850996853</v>
      </c>
      <c r="H8" s="298">
        <f>H7-H10-H11</f>
        <v>13192.057208814273</v>
      </c>
      <c r="I8" s="298">
        <f>H8</f>
        <v>13192.057208814273</v>
      </c>
      <c r="J8" s="298" t="e">
        <f>(C8+D8)/2*J7/((C7+D7)/2)</f>
        <v>#REF!</v>
      </c>
      <c r="K8" s="272">
        <f t="shared" si="0"/>
        <v>125932.93720881426</v>
      </c>
      <c r="L8" s="272" t="e">
        <f t="shared" si="1"/>
        <v>#REF!</v>
      </c>
      <c r="M8" s="285" t="s">
        <v>169</v>
      </c>
      <c r="N8" s="297">
        <f>E8+H8</f>
        <v>150143.57571878278</v>
      </c>
      <c r="O8" s="223"/>
      <c r="P8" s="309">
        <f>E10+H10</f>
        <v>137834.66795383</v>
      </c>
      <c r="R8" s="308"/>
    </row>
    <row r="9" spans="1:15" s="225" customFormat="1" ht="42" customHeight="1">
      <c r="A9" s="296" t="s">
        <v>170</v>
      </c>
      <c r="B9" s="292" t="s">
        <v>171</v>
      </c>
      <c r="C9" s="291">
        <v>1.45</v>
      </c>
      <c r="D9" s="279">
        <v>1.68</v>
      </c>
      <c r="E9" s="298">
        <f>(C9+D9)/2*E7/((C7+D7)/2)</f>
        <v>56180.63603357817</v>
      </c>
      <c r="F9" s="298">
        <f>(C9+D9)/2*F7/((C7+D7)/2)</f>
        <v>46248.87999999999</v>
      </c>
      <c r="G9" s="248">
        <f t="shared" si="2"/>
        <v>9931.756033578182</v>
      </c>
      <c r="H9" s="298">
        <v>0</v>
      </c>
      <c r="I9" s="298">
        <f>H9</f>
        <v>0</v>
      </c>
      <c r="J9" s="298" t="e">
        <f>(C9+D9)/2*J7/((C7+D7)/2)</f>
        <v>#REF!</v>
      </c>
      <c r="K9" s="272">
        <f t="shared" si="0"/>
        <v>46248.87999999999</v>
      </c>
      <c r="L9" s="272" t="e">
        <f t="shared" si="1"/>
        <v>#REF!</v>
      </c>
      <c r="M9" s="286" t="s">
        <v>169</v>
      </c>
      <c r="N9" s="297">
        <f>E9+H9</f>
        <v>56180.63603357817</v>
      </c>
      <c r="O9" s="223"/>
    </row>
    <row r="10" spans="1:16" s="225" customFormat="1" ht="69" customHeight="1">
      <c r="A10" s="296" t="s">
        <v>172</v>
      </c>
      <c r="B10" s="280" t="s">
        <v>173</v>
      </c>
      <c r="C10" s="279">
        <v>3.56</v>
      </c>
      <c r="D10" s="279">
        <v>3.56</v>
      </c>
      <c r="E10" s="298">
        <f>(C10+D10)/2*E7/((C7+D7)/2)</f>
        <v>127797.48516264427</v>
      </c>
      <c r="F10" s="298">
        <f>(C10+D10)/2*F7/((C7+D7)/2)</f>
        <v>105205.11999999998</v>
      </c>
      <c r="G10" s="248">
        <f t="shared" si="2"/>
        <v>22592.365162644288</v>
      </c>
      <c r="H10" s="298">
        <f>(C10+D10)/2*H7/((C7+D7)/2)</f>
        <v>10037.182791185727</v>
      </c>
      <c r="I10" s="298">
        <f>H10</f>
        <v>10037.182791185727</v>
      </c>
      <c r="J10" s="298" t="e">
        <f>(C10+D10)/2*J7/((C7+D7)/2)</f>
        <v>#REF!</v>
      </c>
      <c r="K10" s="272">
        <f t="shared" si="0"/>
        <v>115242.3027911857</v>
      </c>
      <c r="L10" s="272" t="e">
        <f t="shared" si="1"/>
        <v>#REF!</v>
      </c>
      <c r="M10" s="286" t="s">
        <v>174</v>
      </c>
      <c r="N10" s="297">
        <v>88000</v>
      </c>
      <c r="O10" s="223"/>
      <c r="P10" s="225">
        <v>88000</v>
      </c>
    </row>
    <row r="11" spans="1:16" s="225" customFormat="1" ht="42" customHeight="1">
      <c r="A11" s="296" t="s">
        <v>175</v>
      </c>
      <c r="B11" s="280" t="s">
        <v>176</v>
      </c>
      <c r="C11" s="279">
        <v>0.59</v>
      </c>
      <c r="D11" s="279">
        <v>0.59</v>
      </c>
      <c r="E11" s="281">
        <f>(C11+D11)/2*E7/((C7+D7)/2)</f>
        <v>21179.92029380902</v>
      </c>
      <c r="F11" s="298">
        <f>(C11+D11)/2*F7/((C7+D7)/2)</f>
        <v>17435.679999999997</v>
      </c>
      <c r="G11" s="248">
        <f t="shared" si="2"/>
        <v>3744.2402938090236</v>
      </c>
      <c r="H11" s="281">
        <f>303.33*12</f>
        <v>3639.96</v>
      </c>
      <c r="I11" s="298">
        <f>H11</f>
        <v>3639.96</v>
      </c>
      <c r="J11" s="298" t="e">
        <f>(C11+D11)/2*J7/((C7+D7)/2)</f>
        <v>#REF!</v>
      </c>
      <c r="K11" s="272">
        <f t="shared" si="0"/>
        <v>21075.639999999996</v>
      </c>
      <c r="L11" s="272" t="e">
        <f t="shared" si="1"/>
        <v>#REF!</v>
      </c>
      <c r="M11" s="286" t="s">
        <v>169</v>
      </c>
      <c r="N11" s="297">
        <f>E11+H11</f>
        <v>24819.88029380902</v>
      </c>
      <c r="O11" s="223"/>
      <c r="P11" s="309">
        <f>P8-P10</f>
        <v>49834.66795383001</v>
      </c>
    </row>
    <row r="12" spans="1:15" s="225" customFormat="1" ht="44.25" customHeight="1">
      <c r="A12" s="269">
        <v>2</v>
      </c>
      <c r="B12" s="277" t="s">
        <v>177</v>
      </c>
      <c r="C12" s="250">
        <v>0.81</v>
      </c>
      <c r="D12" s="250">
        <v>0.48</v>
      </c>
      <c r="E12" s="250">
        <v>3974.72</v>
      </c>
      <c r="F12" s="250">
        <v>3843.52</v>
      </c>
      <c r="G12" s="248">
        <f t="shared" si="2"/>
        <v>131.19999999999982</v>
      </c>
      <c r="H12" s="250">
        <f>0</f>
        <v>0</v>
      </c>
      <c r="I12" s="248">
        <f>H12*I29/H28</f>
        <v>0</v>
      </c>
      <c r="J12" s="248">
        <f>H12-I12</f>
        <v>0</v>
      </c>
      <c r="K12" s="248">
        <f t="shared" si="0"/>
        <v>3843.52</v>
      </c>
      <c r="L12" s="248">
        <f>G12+J12</f>
        <v>131.19999999999982</v>
      </c>
      <c r="M12" s="285" t="s">
        <v>178</v>
      </c>
      <c r="N12" s="257">
        <f>E12+H12</f>
        <v>3974.72</v>
      </c>
      <c r="O12" s="226">
        <f>N12-F12</f>
        <v>131.19999999999982</v>
      </c>
    </row>
    <row r="13" spans="1:15" s="225" customFormat="1" ht="18" customHeight="1">
      <c r="A13" s="489">
        <v>3</v>
      </c>
      <c r="B13" s="491" t="s">
        <v>179</v>
      </c>
      <c r="C13" s="486" t="e">
        <f>#REF!</f>
        <v>#REF!</v>
      </c>
      <c r="D13" s="486" t="e">
        <f>C13</f>
        <v>#REF!</v>
      </c>
      <c r="E13" s="495">
        <v>144225.24</v>
      </c>
      <c r="F13" s="495">
        <v>119235.48</v>
      </c>
      <c r="G13" s="485">
        <f t="shared" si="2"/>
        <v>24989.759999999995</v>
      </c>
      <c r="H13" s="495">
        <f>2801.62*12</f>
        <v>33619.44</v>
      </c>
      <c r="I13" s="488">
        <f>H13</f>
        <v>33619.44</v>
      </c>
      <c r="J13" s="485">
        <f>H13-I13</f>
        <v>0</v>
      </c>
      <c r="K13" s="493">
        <f t="shared" si="0"/>
        <v>152854.91999999998</v>
      </c>
      <c r="L13" s="493">
        <f>G13+J13</f>
        <v>24989.759999999995</v>
      </c>
      <c r="M13" s="496" t="s">
        <v>180</v>
      </c>
      <c r="N13" s="499">
        <f>E13+H13+H15</f>
        <v>177844.68</v>
      </c>
      <c r="O13" s="222"/>
    </row>
    <row r="14" spans="1:15" s="225" customFormat="1" ht="20.25" customHeight="1">
      <c r="A14" s="490"/>
      <c r="B14" s="492"/>
      <c r="C14" s="487"/>
      <c r="D14" s="487"/>
      <c r="E14" s="495"/>
      <c r="F14" s="495"/>
      <c r="G14" s="485"/>
      <c r="H14" s="495"/>
      <c r="I14" s="488"/>
      <c r="J14" s="485"/>
      <c r="K14" s="494"/>
      <c r="L14" s="494"/>
      <c r="M14" s="497"/>
      <c r="N14" s="500"/>
      <c r="O14" s="212">
        <f>N14-F13</f>
        <v>-119235.48</v>
      </c>
    </row>
    <row r="15" spans="1:15" s="225" customFormat="1" ht="30.75" customHeight="1">
      <c r="A15" s="489">
        <v>4</v>
      </c>
      <c r="B15" s="491" t="s">
        <v>181</v>
      </c>
      <c r="C15" s="486">
        <v>0</v>
      </c>
      <c r="D15" s="486">
        <v>0</v>
      </c>
      <c r="E15" s="486">
        <v>0</v>
      </c>
      <c r="F15" s="486">
        <v>0</v>
      </c>
      <c r="G15" s="485" t="e">
        <f>E15-F15+#REF!</f>
        <v>#REF!</v>
      </c>
      <c r="H15" s="486">
        <v>0</v>
      </c>
      <c r="I15" s="488">
        <v>0</v>
      </c>
      <c r="J15" s="485">
        <f>H15-I15</f>
        <v>0</v>
      </c>
      <c r="K15" s="493">
        <f>I15</f>
        <v>0</v>
      </c>
      <c r="L15" s="493">
        <v>0</v>
      </c>
      <c r="M15" s="497"/>
      <c r="N15" s="500"/>
      <c r="O15" s="223"/>
    </row>
    <row r="16" spans="1:15" s="225" customFormat="1" ht="21" customHeight="1">
      <c r="A16" s="490"/>
      <c r="B16" s="492"/>
      <c r="C16" s="487"/>
      <c r="D16" s="487"/>
      <c r="E16" s="487"/>
      <c r="F16" s="487"/>
      <c r="G16" s="485"/>
      <c r="H16" s="487"/>
      <c r="I16" s="488"/>
      <c r="J16" s="485"/>
      <c r="K16" s="494"/>
      <c r="L16" s="494"/>
      <c r="M16" s="498"/>
      <c r="N16" s="501"/>
      <c r="O16" s="223"/>
    </row>
    <row r="17" spans="1:15" s="225" customFormat="1" ht="36.75" customHeight="1">
      <c r="A17" s="269">
        <v>5</v>
      </c>
      <c r="B17" s="278" t="s">
        <v>182</v>
      </c>
      <c r="C17" s="250">
        <v>1.29</v>
      </c>
      <c r="D17" s="250">
        <v>1.29</v>
      </c>
      <c r="E17" s="250">
        <v>36624.36</v>
      </c>
      <c r="F17" s="250">
        <v>30278.53</v>
      </c>
      <c r="G17" s="248">
        <f>E17-F17</f>
        <v>6345.830000000002</v>
      </c>
      <c r="H17" s="250">
        <v>0</v>
      </c>
      <c r="I17" s="274">
        <v>0</v>
      </c>
      <c r="J17" s="248">
        <f>H17-I17</f>
        <v>0</v>
      </c>
      <c r="K17" s="248">
        <f aca="true" t="shared" si="3" ref="K17:L21">F17+I17</f>
        <v>30278.53</v>
      </c>
      <c r="L17" s="248">
        <f t="shared" si="3"/>
        <v>6345.830000000002</v>
      </c>
      <c r="M17" s="283" t="s">
        <v>180</v>
      </c>
      <c r="N17" s="257">
        <f>E17+H17</f>
        <v>36624.36</v>
      </c>
      <c r="O17" s="222">
        <f>N17-F17</f>
        <v>6345.830000000002</v>
      </c>
    </row>
    <row r="18" spans="1:15" s="225" customFormat="1" ht="32.25" customHeight="1">
      <c r="A18" s="269">
        <v>6</v>
      </c>
      <c r="B18" s="278" t="s">
        <v>183</v>
      </c>
      <c r="C18" s="250">
        <v>0.34</v>
      </c>
      <c r="D18" s="250">
        <v>0.34</v>
      </c>
      <c r="E18" s="250">
        <v>42586.2</v>
      </c>
      <c r="F18" s="250">
        <v>35207.33</v>
      </c>
      <c r="G18" s="248">
        <f>E18-F18</f>
        <v>7378.869999999995</v>
      </c>
      <c r="H18" s="250">
        <v>0</v>
      </c>
      <c r="I18" s="274">
        <f>H18*I29/H28</f>
        <v>0</v>
      </c>
      <c r="J18" s="248">
        <f>H18-I18</f>
        <v>0</v>
      </c>
      <c r="K18" s="248">
        <f t="shared" si="3"/>
        <v>35207.33</v>
      </c>
      <c r="L18" s="248">
        <f t="shared" si="3"/>
        <v>7378.869999999995</v>
      </c>
      <c r="M18" s="283" t="s">
        <v>184</v>
      </c>
      <c r="N18" s="257">
        <f>E18+H18</f>
        <v>42586.2</v>
      </c>
      <c r="O18" s="211">
        <f>N18-F18</f>
        <v>7378.869999999995</v>
      </c>
    </row>
    <row r="19" spans="1:15" s="225" customFormat="1" ht="30.75" customHeight="1">
      <c r="A19" s="269">
        <v>7</v>
      </c>
      <c r="B19" s="278" t="s">
        <v>185</v>
      </c>
      <c r="C19" s="250" t="e">
        <f>#REF!</f>
        <v>#REF!</v>
      </c>
      <c r="D19" s="250" t="e">
        <f>C19</f>
        <v>#REF!</v>
      </c>
      <c r="E19" s="250">
        <v>15898.8</v>
      </c>
      <c r="F19" s="250">
        <v>13066.96</v>
      </c>
      <c r="G19" s="248">
        <f>E19-F19</f>
        <v>2831.84</v>
      </c>
      <c r="H19" s="250">
        <v>0</v>
      </c>
      <c r="I19" s="274">
        <f>H19*I29/H28</f>
        <v>0</v>
      </c>
      <c r="J19" s="248">
        <f>H19-I19</f>
        <v>0</v>
      </c>
      <c r="K19" s="248">
        <f t="shared" si="3"/>
        <v>13066.96</v>
      </c>
      <c r="L19" s="248">
        <f t="shared" si="3"/>
        <v>2831.84</v>
      </c>
      <c r="M19" s="283" t="s">
        <v>202</v>
      </c>
      <c r="N19" s="257">
        <f>E19+H19</f>
        <v>15898.8</v>
      </c>
      <c r="O19" s="211">
        <f>N19-F19</f>
        <v>2831.84</v>
      </c>
    </row>
    <row r="20" spans="1:15" s="225" customFormat="1" ht="27.75" customHeight="1">
      <c r="A20" s="269">
        <v>8</v>
      </c>
      <c r="B20" s="287" t="s">
        <v>187</v>
      </c>
      <c r="C20" s="250">
        <v>3</v>
      </c>
      <c r="D20" s="250">
        <v>3</v>
      </c>
      <c r="E20" s="250">
        <v>59667.95</v>
      </c>
      <c r="F20" s="250">
        <v>42612.17</v>
      </c>
      <c r="G20" s="248">
        <f>E20-F20</f>
        <v>17055.78</v>
      </c>
      <c r="H20" s="250">
        <v>0</v>
      </c>
      <c r="I20" s="274">
        <v>0</v>
      </c>
      <c r="J20" s="248">
        <f>H20-I20</f>
        <v>0</v>
      </c>
      <c r="K20" s="248">
        <f t="shared" si="3"/>
        <v>42612.17</v>
      </c>
      <c r="L20" s="248">
        <f t="shared" si="3"/>
        <v>17055.78</v>
      </c>
      <c r="M20" s="285" t="s">
        <v>188</v>
      </c>
      <c r="N20" s="257">
        <f>E20+H20</f>
        <v>59667.95</v>
      </c>
      <c r="O20" s="211">
        <f>N20-F20</f>
        <v>17055.78</v>
      </c>
    </row>
    <row r="21" spans="1:15" s="225" customFormat="1" ht="27.75" customHeight="1">
      <c r="A21" s="299">
        <v>9</v>
      </c>
      <c r="B21" s="306" t="s">
        <v>189</v>
      </c>
      <c r="C21" s="261">
        <v>1.18</v>
      </c>
      <c r="D21" s="261">
        <f>C21</f>
        <v>1.18</v>
      </c>
      <c r="E21" s="261">
        <v>33501.12</v>
      </c>
      <c r="F21" s="261">
        <v>27696.43</v>
      </c>
      <c r="G21" s="248">
        <f>E21-F21</f>
        <v>5804.690000000002</v>
      </c>
      <c r="H21" s="261">
        <f>650.77*12</f>
        <v>7809.24</v>
      </c>
      <c r="I21" s="307">
        <f>H21</f>
        <v>7809.24</v>
      </c>
      <c r="J21" s="272">
        <f>H21-I21</f>
        <v>0</v>
      </c>
      <c r="K21" s="272">
        <f t="shared" si="3"/>
        <v>35505.67</v>
      </c>
      <c r="L21" s="272">
        <f t="shared" si="3"/>
        <v>5804.690000000002</v>
      </c>
      <c r="M21" s="273" t="s">
        <v>180</v>
      </c>
      <c r="N21" s="297">
        <f>E21+H21</f>
        <v>41310.36</v>
      </c>
      <c r="O21" s="211"/>
    </row>
    <row r="22" spans="1:15" s="225" customFormat="1" ht="15" customHeight="1">
      <c r="A22" s="241"/>
      <c r="B22" s="247" t="s">
        <v>203</v>
      </c>
      <c r="C22" s="249"/>
      <c r="D22" s="250"/>
      <c r="E22" s="250"/>
      <c r="F22" s="262"/>
      <c r="G22" s="263"/>
      <c r="H22" s="264"/>
      <c r="I22" s="265"/>
      <c r="J22" s="263"/>
      <c r="K22" s="263"/>
      <c r="L22" s="263"/>
      <c r="M22" s="266"/>
      <c r="N22" s="275"/>
      <c r="O22" s="211"/>
    </row>
    <row r="23" spans="1:15" s="225" customFormat="1" ht="18" customHeight="1">
      <c r="A23" s="241"/>
      <c r="B23" s="254" t="s">
        <v>190</v>
      </c>
      <c r="C23" s="267" t="s">
        <v>191</v>
      </c>
      <c r="D23" s="267" t="s">
        <v>191</v>
      </c>
      <c r="E23" s="255">
        <f aca="true" t="shared" si="4" ref="E23:L23">SUM(E12:E21)+E7</f>
        <v>678587.95</v>
      </c>
      <c r="F23" s="255">
        <f t="shared" si="4"/>
        <v>553570.98</v>
      </c>
      <c r="G23" s="255" t="e">
        <f t="shared" si="4"/>
        <v>#REF!</v>
      </c>
      <c r="H23" s="255">
        <f t="shared" si="4"/>
        <v>68297.88</v>
      </c>
      <c r="I23" s="255">
        <f t="shared" si="4"/>
        <v>68297.88</v>
      </c>
      <c r="J23" s="255" t="e">
        <f t="shared" si="4"/>
        <v>#REF!</v>
      </c>
      <c r="K23" s="255">
        <f t="shared" si="4"/>
        <v>621868.86</v>
      </c>
      <c r="L23" s="255" t="e">
        <f t="shared" si="4"/>
        <v>#REF!</v>
      </c>
      <c r="M23" s="289"/>
      <c r="N23" s="290">
        <f>SUM(N12:N21)+N7</f>
        <v>746885.8300000001</v>
      </c>
      <c r="O23" s="215">
        <f>SUM(O12:O22)+O7</f>
        <v>-85491.96</v>
      </c>
    </row>
    <row r="24" spans="1:16" s="225" customFormat="1" ht="18" customHeight="1">
      <c r="A24" s="269">
        <v>10</v>
      </c>
      <c r="B24" s="247" t="s">
        <v>192</v>
      </c>
      <c r="C24" s="249">
        <v>21.03</v>
      </c>
      <c r="D24" s="250">
        <v>23.13</v>
      </c>
      <c r="E24" s="250">
        <v>0</v>
      </c>
      <c r="F24" s="250">
        <v>0</v>
      </c>
      <c r="G24" s="245">
        <f>E24-F24</f>
        <v>0</v>
      </c>
      <c r="H24" s="251">
        <v>0</v>
      </c>
      <c r="I24" s="252">
        <v>0</v>
      </c>
      <c r="J24" s="245">
        <f>H24-I24</f>
        <v>0</v>
      </c>
      <c r="K24" s="245">
        <f aca="true" t="shared" si="5" ref="K24:L26">F24+I24</f>
        <v>0</v>
      </c>
      <c r="L24" s="245">
        <f t="shared" si="5"/>
        <v>0</v>
      </c>
      <c r="M24" s="188" t="s">
        <v>127</v>
      </c>
      <c r="N24" s="257">
        <f>E24+H24</f>
        <v>0</v>
      </c>
      <c r="O24" s="222">
        <f>N24-F24</f>
        <v>0</v>
      </c>
      <c r="P24" s="227"/>
    </row>
    <row r="25" spans="1:15" s="225" customFormat="1" ht="18" customHeight="1">
      <c r="A25" s="269">
        <v>11</v>
      </c>
      <c r="B25" s="247" t="s">
        <v>194</v>
      </c>
      <c r="C25" s="249">
        <v>21.03</v>
      </c>
      <c r="D25" s="250">
        <v>23.13</v>
      </c>
      <c r="E25" s="250">
        <v>0</v>
      </c>
      <c r="F25" s="250">
        <v>0</v>
      </c>
      <c r="G25" s="245">
        <f>E25-F25</f>
        <v>0</v>
      </c>
      <c r="H25" s="251">
        <v>0</v>
      </c>
      <c r="I25" s="253">
        <f>H25*I29/(H28-40000)</f>
        <v>0</v>
      </c>
      <c r="J25" s="245">
        <f>H25-I25</f>
        <v>0</v>
      </c>
      <c r="K25" s="245">
        <f t="shared" si="5"/>
        <v>0</v>
      </c>
      <c r="L25" s="245">
        <f t="shared" si="5"/>
        <v>0</v>
      </c>
      <c r="M25" s="188" t="s">
        <v>127</v>
      </c>
      <c r="N25" s="257">
        <f>E25+H25</f>
        <v>0</v>
      </c>
      <c r="O25" s="212">
        <f>N25-F25</f>
        <v>0</v>
      </c>
    </row>
    <row r="26" spans="1:15" s="225" customFormat="1" ht="22.5" customHeight="1">
      <c r="A26" s="269">
        <v>12</v>
      </c>
      <c r="B26" s="268" t="s">
        <v>195</v>
      </c>
      <c r="C26" s="249">
        <v>21.03</v>
      </c>
      <c r="D26" s="250">
        <v>21.03</v>
      </c>
      <c r="E26" s="250">
        <v>0</v>
      </c>
      <c r="F26" s="250">
        <v>0</v>
      </c>
      <c r="G26" s="248">
        <f>E26-F26</f>
        <v>0</v>
      </c>
      <c r="H26" s="270">
        <v>0</v>
      </c>
      <c r="I26" s="258">
        <v>0</v>
      </c>
      <c r="J26" s="248">
        <f>H26-I26</f>
        <v>0</v>
      </c>
      <c r="K26" s="248">
        <f t="shared" si="5"/>
        <v>0</v>
      </c>
      <c r="L26" s="248">
        <f t="shared" si="5"/>
        <v>0</v>
      </c>
      <c r="M26" s="271" t="s">
        <v>127</v>
      </c>
      <c r="N26" s="257">
        <f>E26+H26</f>
        <v>0</v>
      </c>
      <c r="O26" s="222">
        <f>N26-F26</f>
        <v>0</v>
      </c>
    </row>
    <row r="27" spans="1:15" s="225" customFormat="1" ht="18" customHeight="1">
      <c r="A27" s="241"/>
      <c r="B27" s="254" t="s">
        <v>200</v>
      </c>
      <c r="C27" s="256" t="s">
        <v>127</v>
      </c>
      <c r="D27" s="256" t="s">
        <v>127</v>
      </c>
      <c r="E27" s="256">
        <f aca="true" t="shared" si="6" ref="E27:L27">SUM(E24:E26)</f>
        <v>0</v>
      </c>
      <c r="F27" s="256">
        <f t="shared" si="6"/>
        <v>0</v>
      </c>
      <c r="G27" s="256">
        <f t="shared" si="6"/>
        <v>0</v>
      </c>
      <c r="H27" s="256">
        <f t="shared" si="6"/>
        <v>0</v>
      </c>
      <c r="I27" s="256">
        <f t="shared" si="6"/>
        <v>0</v>
      </c>
      <c r="J27" s="256">
        <f t="shared" si="6"/>
        <v>0</v>
      </c>
      <c r="K27" s="256">
        <f t="shared" si="6"/>
        <v>0</v>
      </c>
      <c r="L27" s="256">
        <f t="shared" si="6"/>
        <v>0</v>
      </c>
      <c r="M27" s="289"/>
      <c r="N27" s="295">
        <f>SUM(N24:N26)</f>
        <v>0</v>
      </c>
      <c r="O27" s="212"/>
    </row>
    <row r="28" spans="1:15" s="225" customFormat="1" ht="18" customHeight="1">
      <c r="A28" s="241"/>
      <c r="B28" s="194" t="s">
        <v>126</v>
      </c>
      <c r="C28" s="238" t="s">
        <v>127</v>
      </c>
      <c r="D28" s="238" t="s">
        <v>127</v>
      </c>
      <c r="E28" s="238">
        <f aca="true" t="shared" si="7" ref="E28:L28">E23+E27</f>
        <v>678587.95</v>
      </c>
      <c r="F28" s="238">
        <f t="shared" si="7"/>
        <v>553570.98</v>
      </c>
      <c r="G28" s="238" t="e">
        <f t="shared" si="7"/>
        <v>#REF!</v>
      </c>
      <c r="H28" s="238">
        <f t="shared" si="7"/>
        <v>68297.88</v>
      </c>
      <c r="I28" s="238">
        <f t="shared" si="7"/>
        <v>68297.88</v>
      </c>
      <c r="J28" s="238" t="e">
        <f t="shared" si="7"/>
        <v>#REF!</v>
      </c>
      <c r="K28" s="238">
        <f t="shared" si="7"/>
        <v>621868.86</v>
      </c>
      <c r="L28" s="238" t="e">
        <f t="shared" si="7"/>
        <v>#REF!</v>
      </c>
      <c r="M28" s="188"/>
      <c r="N28" s="242">
        <f>SUM(N23:N26)</f>
        <v>746885.8300000001</v>
      </c>
      <c r="O28" s="229">
        <f>SUM(O23:O27)</f>
        <v>-85491.96</v>
      </c>
    </row>
    <row r="29" spans="1:15" s="193" customFormat="1" ht="12.75" hidden="1">
      <c r="A29" s="482" t="s">
        <v>201</v>
      </c>
      <c r="B29" s="482"/>
      <c r="C29" s="482"/>
      <c r="D29" s="482"/>
      <c r="E29" s="482"/>
      <c r="F29" s="482"/>
      <c r="G29" s="482"/>
      <c r="H29" s="230"/>
      <c r="I29" s="484">
        <v>186515.87</v>
      </c>
      <c r="J29" s="231"/>
      <c r="K29" s="232"/>
      <c r="L29" s="232"/>
      <c r="M29" s="195"/>
      <c r="N29" s="207"/>
      <c r="O29" s="213"/>
    </row>
    <row r="30" spans="1:15" s="193" customFormat="1" ht="12.75" hidden="1">
      <c r="A30" s="483"/>
      <c r="B30" s="483"/>
      <c r="C30" s="483"/>
      <c r="D30" s="483"/>
      <c r="E30" s="483"/>
      <c r="F30" s="483"/>
      <c r="G30" s="483"/>
      <c r="H30" s="230"/>
      <c r="I30" s="484"/>
      <c r="J30" s="231"/>
      <c r="K30" s="232"/>
      <c r="L30" s="232"/>
      <c r="M30" s="195"/>
      <c r="N30" s="207"/>
      <c r="O30" s="213"/>
    </row>
    <row r="31" spans="1:7" ht="44.25" customHeight="1" hidden="1">
      <c r="A31" s="483"/>
      <c r="B31" s="483"/>
      <c r="C31" s="483"/>
      <c r="D31" s="483"/>
      <c r="E31" s="483"/>
      <c r="F31" s="483"/>
      <c r="G31" s="483"/>
    </row>
    <row r="32" ht="12.75">
      <c r="B32" s="197"/>
    </row>
    <row r="36" ht="12.75">
      <c r="J36" s="237"/>
    </row>
  </sheetData>
  <sheetProtection/>
  <mergeCells count="30">
    <mergeCell ref="M13:M16"/>
    <mergeCell ref="N13:N16"/>
    <mergeCell ref="K15:K16"/>
    <mergeCell ref="L15:L16"/>
    <mergeCell ref="B1:N1"/>
    <mergeCell ref="A6:B6"/>
    <mergeCell ref="A13:A14"/>
    <mergeCell ref="B13:B14"/>
    <mergeCell ref="C13:C14"/>
    <mergeCell ref="D13:D14"/>
    <mergeCell ref="E15:E16"/>
    <mergeCell ref="F15:F16"/>
    <mergeCell ref="I13:I14"/>
    <mergeCell ref="J13:J14"/>
    <mergeCell ref="K13:K14"/>
    <mergeCell ref="L13:L14"/>
    <mergeCell ref="E13:E14"/>
    <mergeCell ref="F13:F14"/>
    <mergeCell ref="G13:G14"/>
    <mergeCell ref="H13:H14"/>
    <mergeCell ref="A29:G31"/>
    <mergeCell ref="I29:I30"/>
    <mergeCell ref="G15:G16"/>
    <mergeCell ref="H15:H16"/>
    <mergeCell ref="I15:I16"/>
    <mergeCell ref="J15:J16"/>
    <mergeCell ref="A15:A16"/>
    <mergeCell ref="B15:B16"/>
    <mergeCell ref="C15:C16"/>
    <mergeCell ref="D15:D16"/>
  </mergeCells>
  <printOptions/>
  <pageMargins left="1" right="1" top="1" bottom="1" header="1" footer="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="90" zoomScaleNormal="90" zoomScalePageLayoutView="0" workbookViewId="0" topLeftCell="A1">
      <selection activeCell="H7" sqref="H7"/>
    </sheetView>
  </sheetViews>
  <sheetFormatPr defaultColWidth="9.00390625" defaultRowHeight="12.75"/>
  <cols>
    <col min="1" max="1" width="5.125" style="0" customWidth="1"/>
    <col min="2" max="2" width="35.125" style="0" customWidth="1"/>
    <col min="3" max="3" width="14.375" style="0" customWidth="1"/>
    <col min="4" max="4" width="14.125" style="0" customWidth="1"/>
    <col min="5" max="5" width="17.125" style="196" customWidth="1"/>
    <col min="6" max="6" width="14.875" style="0" customWidth="1"/>
    <col min="7" max="7" width="14.00390625" style="0" customWidth="1"/>
    <col min="8" max="8" width="15.875" style="196" customWidth="1"/>
    <col min="9" max="9" width="17.00390625" style="0" customWidth="1"/>
    <col min="10" max="10" width="12.875" style="0" customWidth="1"/>
  </cols>
  <sheetData>
    <row r="1" spans="1:10" ht="15">
      <c r="A1" s="342"/>
      <c r="B1" s="479" t="s">
        <v>244</v>
      </c>
      <c r="C1" s="479"/>
      <c r="D1" s="479"/>
      <c r="E1" s="479"/>
      <c r="F1" s="479"/>
      <c r="G1" s="479"/>
      <c r="H1" s="479"/>
      <c r="I1" s="479"/>
      <c r="J1" s="479"/>
    </row>
    <row r="2" spans="1:10" ht="25.5">
      <c r="A2" s="351" t="s">
        <v>15</v>
      </c>
      <c r="B2" s="352" t="s">
        <v>16</v>
      </c>
      <c r="C2" s="353" t="s">
        <v>149</v>
      </c>
      <c r="D2" s="353" t="s">
        <v>149</v>
      </c>
      <c r="E2" s="354" t="s">
        <v>241</v>
      </c>
      <c r="F2" s="354" t="s">
        <v>149</v>
      </c>
      <c r="G2" s="354" t="s">
        <v>149</v>
      </c>
      <c r="H2" s="354" t="s">
        <v>241</v>
      </c>
      <c r="I2" s="355" t="s">
        <v>242</v>
      </c>
      <c r="J2" s="356" t="s">
        <v>243</v>
      </c>
    </row>
    <row r="3" spans="1:10" ht="12.75">
      <c r="A3" s="351" t="s">
        <v>20</v>
      </c>
      <c r="B3" s="357"/>
      <c r="C3" s="353" t="s">
        <v>155</v>
      </c>
      <c r="D3" s="353" t="s">
        <v>155</v>
      </c>
      <c r="E3" s="354" t="s">
        <v>156</v>
      </c>
      <c r="F3" s="354" t="s">
        <v>143</v>
      </c>
      <c r="G3" s="354" t="s">
        <v>143</v>
      </c>
      <c r="H3" s="354" t="s">
        <v>143</v>
      </c>
      <c r="I3" s="354" t="s">
        <v>143</v>
      </c>
      <c r="J3" s="356"/>
    </row>
    <row r="4" spans="1:10" ht="12.75">
      <c r="A4" s="351"/>
      <c r="B4" s="357"/>
      <c r="C4" s="353" t="s">
        <v>158</v>
      </c>
      <c r="D4" s="354" t="s">
        <v>159</v>
      </c>
      <c r="E4" s="354" t="s">
        <v>160</v>
      </c>
      <c r="F4" s="354" t="s">
        <v>158</v>
      </c>
      <c r="G4" s="354" t="s">
        <v>159</v>
      </c>
      <c r="H4" s="354" t="s">
        <v>160</v>
      </c>
      <c r="I4" s="354" t="s">
        <v>160</v>
      </c>
      <c r="J4" s="356"/>
    </row>
    <row r="5" spans="1:10" ht="12.75">
      <c r="A5" s="351"/>
      <c r="B5" s="357"/>
      <c r="C5" s="353" t="s">
        <v>161</v>
      </c>
      <c r="D5" s="353" t="s">
        <v>162</v>
      </c>
      <c r="E5" s="354"/>
      <c r="F5" s="354" t="s">
        <v>161</v>
      </c>
      <c r="G5" s="354" t="s">
        <v>161</v>
      </c>
      <c r="H5" s="354"/>
      <c r="I5" s="358"/>
      <c r="J5" s="356"/>
    </row>
    <row r="6" spans="1:10" ht="25.5">
      <c r="A6" s="359">
        <v>1</v>
      </c>
      <c r="B6" s="360" t="s">
        <v>166</v>
      </c>
      <c r="C6" s="361">
        <v>9.47</v>
      </c>
      <c r="D6" s="361">
        <v>9.59</v>
      </c>
      <c r="E6" s="361">
        <f>'О поступлении денежных средств'!E7-'О поступлении денежных средств'!F7</f>
        <v>19659.310000000012</v>
      </c>
      <c r="F6" s="361">
        <v>9.47</v>
      </c>
      <c r="G6" s="361">
        <v>9.59</v>
      </c>
      <c r="H6" s="361">
        <f>'О поступлении денежных средств'!I7-'О поступлении денежных средств'!J7</f>
        <v>17093.67</v>
      </c>
      <c r="I6" s="361">
        <f>E6+H6</f>
        <v>36752.98000000001</v>
      </c>
      <c r="J6" s="362"/>
    </row>
    <row r="7" spans="1:10" ht="63.75">
      <c r="A7" s="363" t="s">
        <v>167</v>
      </c>
      <c r="B7" s="364" t="s">
        <v>168</v>
      </c>
      <c r="C7" s="365">
        <v>3.87</v>
      </c>
      <c r="D7" s="365">
        <v>3.76</v>
      </c>
      <c r="E7" s="361">
        <f>(E6*40.9)/100</f>
        <v>8040.657790000005</v>
      </c>
      <c r="F7" s="361">
        <f>C7</f>
        <v>3.87</v>
      </c>
      <c r="G7" s="361">
        <f>D7</f>
        <v>3.76</v>
      </c>
      <c r="H7" s="361">
        <f>'О поступлении денежных средств'!I8-'О поступлении денежных средств'!J8</f>
        <v>0</v>
      </c>
      <c r="I7" s="361">
        <f>E7+H7</f>
        <v>8040.657790000005</v>
      </c>
      <c r="J7" s="362"/>
    </row>
    <row r="8" spans="1:10" ht="12.75">
      <c r="A8" s="366" t="s">
        <v>170</v>
      </c>
      <c r="B8" s="367" t="s">
        <v>171</v>
      </c>
      <c r="C8" s="368">
        <v>1.45</v>
      </c>
      <c r="D8" s="369">
        <v>1.68</v>
      </c>
      <c r="E8" s="361">
        <f>(E6*15.3)/100</f>
        <v>3007.874430000002</v>
      </c>
      <c r="F8" s="361">
        <f aca="true" t="shared" si="0" ref="F8:F17">C8</f>
        <v>1.45</v>
      </c>
      <c r="G8" s="361">
        <f aca="true" t="shared" si="1" ref="G8:G17">D8</f>
        <v>1.68</v>
      </c>
      <c r="H8" s="361">
        <f>'О поступлении денежных средств'!I9-'О поступлении денежных средств'!J9</f>
        <v>0</v>
      </c>
      <c r="I8" s="361">
        <f>E8+H8</f>
        <v>3007.874430000002</v>
      </c>
      <c r="J8" s="362"/>
    </row>
    <row r="9" spans="1:10" ht="25.5">
      <c r="A9" s="366" t="s">
        <v>172</v>
      </c>
      <c r="B9" s="370" t="s">
        <v>173</v>
      </c>
      <c r="C9" s="369">
        <v>3.56</v>
      </c>
      <c r="D9" s="369">
        <v>3.56</v>
      </c>
      <c r="E9" s="361">
        <f>(E6*37.6)/100</f>
        <v>7391.900560000005</v>
      </c>
      <c r="F9" s="361">
        <f t="shared" si="0"/>
        <v>3.56</v>
      </c>
      <c r="G9" s="361">
        <f t="shared" si="1"/>
        <v>3.56</v>
      </c>
      <c r="H9" s="361">
        <f>'О поступлении денежных средств'!I10-'О поступлении денежных средств'!J10</f>
        <v>0</v>
      </c>
      <c r="I9" s="361">
        <f>E9+H9</f>
        <v>7391.900560000005</v>
      </c>
      <c r="J9" s="362"/>
    </row>
    <row r="10" spans="1:10" ht="12.75">
      <c r="A10" s="366" t="s">
        <v>175</v>
      </c>
      <c r="B10" s="370" t="s">
        <v>176</v>
      </c>
      <c r="C10" s="369">
        <v>0.59</v>
      </c>
      <c r="D10" s="369">
        <v>0.59</v>
      </c>
      <c r="E10" s="365">
        <f>(E6*6.2)/100</f>
        <v>1218.8772200000008</v>
      </c>
      <c r="F10" s="361">
        <f t="shared" si="0"/>
        <v>0.59</v>
      </c>
      <c r="G10" s="361">
        <f t="shared" si="1"/>
        <v>0.59</v>
      </c>
      <c r="H10" s="361">
        <f>'О поступлении денежных средств'!I11-'О поступлении денежных средств'!J11</f>
        <v>0</v>
      </c>
      <c r="I10" s="361">
        <f>E10+H10</f>
        <v>1218.8772200000008</v>
      </c>
      <c r="J10" s="362"/>
    </row>
    <row r="11" spans="1:10" ht="12.75">
      <c r="A11" s="351">
        <v>2</v>
      </c>
      <c r="B11" s="364" t="s">
        <v>177</v>
      </c>
      <c r="C11" s="371">
        <v>0.81</v>
      </c>
      <c r="D11" s="371">
        <v>0.59</v>
      </c>
      <c r="E11" s="371">
        <f>'О поступлении денежных средств'!E12-'О поступлении денежных средств'!F12</f>
        <v>1351.9599999999991</v>
      </c>
      <c r="F11" s="361">
        <f t="shared" si="0"/>
        <v>0.81</v>
      </c>
      <c r="G11" s="361">
        <f t="shared" si="1"/>
        <v>0.59</v>
      </c>
      <c r="H11" s="361">
        <f>'О поступлении денежных средств'!I12-'О поступлении денежных средств'!J12</f>
        <v>0</v>
      </c>
      <c r="I11" s="358">
        <f>E11+H11</f>
        <v>1351.9599999999991</v>
      </c>
      <c r="J11" s="372"/>
    </row>
    <row r="12" spans="1:10" ht="26.25" customHeight="1">
      <c r="A12" s="384">
        <v>3</v>
      </c>
      <c r="B12" s="385" t="s">
        <v>179</v>
      </c>
      <c r="C12" s="373">
        <v>5.08</v>
      </c>
      <c r="D12" s="373">
        <v>5.08</v>
      </c>
      <c r="E12" s="371">
        <f>'О поступлении денежных средств'!E16-'О поступлении денежных средств'!F16</f>
        <v>1152.42</v>
      </c>
      <c r="F12" s="361">
        <f t="shared" si="0"/>
        <v>5.08</v>
      </c>
      <c r="G12" s="361">
        <f t="shared" si="1"/>
        <v>5.08</v>
      </c>
      <c r="H12" s="361">
        <f>'О поступлении денежных средств'!I13-'О поступлении денежных средств'!J13</f>
        <v>10428.76</v>
      </c>
      <c r="I12" s="358">
        <f>E12+H12</f>
        <v>11581.18</v>
      </c>
      <c r="J12" s="383"/>
    </row>
    <row r="13" spans="1:10" ht="25.5">
      <c r="A13" s="374">
        <v>4</v>
      </c>
      <c r="B13" s="375" t="s">
        <v>182</v>
      </c>
      <c r="C13" s="371">
        <v>1.29</v>
      </c>
      <c r="D13" s="371">
        <v>1.41</v>
      </c>
      <c r="E13" s="371">
        <f>'О поступлении денежных средств'!E14-'О поступлении денежных средств'!F14</f>
        <v>3826.2999999999993</v>
      </c>
      <c r="F13" s="361">
        <f t="shared" si="0"/>
        <v>1.29</v>
      </c>
      <c r="G13" s="361">
        <f t="shared" si="1"/>
        <v>1.41</v>
      </c>
      <c r="H13" s="361">
        <f>'О поступлении денежных средств'!I14-'О поступлении денежных средств'!J14</f>
        <v>2256.79</v>
      </c>
      <c r="I13" s="358">
        <f>E13+H13</f>
        <v>6083.089999999999</v>
      </c>
      <c r="J13" s="372"/>
    </row>
    <row r="14" spans="1:10" ht="25.5">
      <c r="A14" s="351">
        <v>5</v>
      </c>
      <c r="B14" s="376" t="s">
        <v>183</v>
      </c>
      <c r="C14" s="371">
        <v>0.34</v>
      </c>
      <c r="D14" s="371">
        <v>0.34</v>
      </c>
      <c r="E14" s="371">
        <f>'О поступлении денежных средств'!E15-'О поступлении денежных средств'!F15</f>
        <v>818.6900000000005</v>
      </c>
      <c r="F14" s="361">
        <f t="shared" si="0"/>
        <v>0.34</v>
      </c>
      <c r="G14" s="361">
        <f t="shared" si="1"/>
        <v>0.34</v>
      </c>
      <c r="H14" s="361">
        <f>'О поступлении денежных средств'!I15-'О поступлении денежных средств'!J15</f>
        <v>0</v>
      </c>
      <c r="I14" s="358">
        <f>E14+H14</f>
        <v>818.6900000000005</v>
      </c>
      <c r="J14" s="372"/>
    </row>
    <row r="15" spans="1:10" ht="25.5">
      <c r="A15" s="374">
        <v>6</v>
      </c>
      <c r="B15" s="376" t="s">
        <v>185</v>
      </c>
      <c r="C15" s="371">
        <v>5.08</v>
      </c>
      <c r="D15" s="371">
        <f>C15</f>
        <v>5.08</v>
      </c>
      <c r="E15" s="371">
        <f>'О поступлении денежных средств'!E16-'О поступлении денежных средств'!F16</f>
        <v>1152.42</v>
      </c>
      <c r="F15" s="361">
        <f t="shared" si="0"/>
        <v>5.08</v>
      </c>
      <c r="G15" s="361">
        <f t="shared" si="1"/>
        <v>5.08</v>
      </c>
      <c r="H15" s="361">
        <f>'О поступлении денежных средств'!I16-'О поступлении денежных средств'!J16</f>
        <v>0</v>
      </c>
      <c r="I15" s="358">
        <f>E15+H15</f>
        <v>1152.42</v>
      </c>
      <c r="J15" s="372"/>
    </row>
    <row r="16" spans="1:10" ht="12.75">
      <c r="A16" s="351">
        <v>7</v>
      </c>
      <c r="B16" s="376" t="s">
        <v>187</v>
      </c>
      <c r="C16" s="371">
        <v>2.5</v>
      </c>
      <c r="D16" s="371">
        <v>3</v>
      </c>
      <c r="E16" s="371">
        <f>'О поступлении денежных средств'!E17-'О поступлении денежных средств'!F17</f>
        <v>5372.68</v>
      </c>
      <c r="F16" s="361">
        <f t="shared" si="0"/>
        <v>2.5</v>
      </c>
      <c r="G16" s="361">
        <f t="shared" si="1"/>
        <v>3</v>
      </c>
      <c r="H16" s="361">
        <f>'О поступлении денежных средств'!I17-'О поступлении денежных средств'!J17</f>
        <v>0</v>
      </c>
      <c r="I16" s="358">
        <f>E16+H16</f>
        <v>5372.68</v>
      </c>
      <c r="J16" s="372"/>
    </row>
    <row r="17" spans="1:10" ht="25.5">
      <c r="A17" s="374">
        <v>8</v>
      </c>
      <c r="B17" s="360" t="s">
        <v>246</v>
      </c>
      <c r="C17" s="373">
        <v>1.18</v>
      </c>
      <c r="D17" s="373">
        <f>C17</f>
        <v>1.18</v>
      </c>
      <c r="E17" s="373">
        <f>'О поступлении денежных средств'!E18-'О поступлении денежных средств'!F18</f>
        <v>2428.2599999999984</v>
      </c>
      <c r="F17" s="361">
        <f t="shared" si="0"/>
        <v>1.18</v>
      </c>
      <c r="G17" s="361">
        <f t="shared" si="1"/>
        <v>1.18</v>
      </c>
      <c r="H17" s="361">
        <f>'О поступлении денежных средств'!I18-'О поступлении денежных средств'!J18</f>
        <v>2422.4500000000003</v>
      </c>
      <c r="I17" s="358">
        <f>E17+H17</f>
        <v>4850.709999999999</v>
      </c>
      <c r="J17" s="362"/>
    </row>
    <row r="18" spans="1:10" ht="12.75">
      <c r="A18" s="351">
        <v>9</v>
      </c>
      <c r="B18" s="352" t="s">
        <v>190</v>
      </c>
      <c r="C18" s="371" t="s">
        <v>191</v>
      </c>
      <c r="D18" s="371" t="s">
        <v>191</v>
      </c>
      <c r="E18" s="354">
        <f>SUM(E11:E17)+E6</f>
        <v>35762.04000000001</v>
      </c>
      <c r="F18" s="371" t="s">
        <v>191</v>
      </c>
      <c r="G18" s="371" t="s">
        <v>191</v>
      </c>
      <c r="H18" s="354">
        <f>SUM(H11:H17)+H6</f>
        <v>32201.67</v>
      </c>
      <c r="I18" s="354">
        <f>SUM(I11:I17)+I6</f>
        <v>67963.71</v>
      </c>
      <c r="J18" s="356"/>
    </row>
    <row r="19" spans="1:10" ht="12.75">
      <c r="A19" s="374">
        <v>10</v>
      </c>
      <c r="B19" s="357" t="s">
        <v>192</v>
      </c>
      <c r="C19" s="371">
        <v>21.03</v>
      </c>
      <c r="D19" s="371">
        <v>23.13</v>
      </c>
      <c r="E19" s="371">
        <f>'О поступлении денежных средств'!E20-'О поступлении денежных средств'!F20</f>
        <v>4522.040000000001</v>
      </c>
      <c r="F19" s="371">
        <v>21.03</v>
      </c>
      <c r="G19" s="371">
        <v>23.13</v>
      </c>
      <c r="H19" s="371">
        <f>'О поступлении денежных средств'!I20-'О поступлении денежных средств'!J20</f>
        <v>2411.49</v>
      </c>
      <c r="I19" s="358">
        <f>E19+H19</f>
        <v>6933.530000000001</v>
      </c>
      <c r="J19" s="372"/>
    </row>
    <row r="20" spans="1:10" ht="12.75">
      <c r="A20" s="351">
        <v>11</v>
      </c>
      <c r="B20" s="357" t="s">
        <v>194</v>
      </c>
      <c r="C20" s="371">
        <v>21.03</v>
      </c>
      <c r="D20" s="371">
        <v>23.13</v>
      </c>
      <c r="E20" s="371">
        <f>'О поступлении денежных средств'!E21-'О поступлении денежных средств'!F21</f>
        <v>11365.619999999995</v>
      </c>
      <c r="F20" s="371">
        <v>21.03</v>
      </c>
      <c r="G20" s="371">
        <v>23.13</v>
      </c>
      <c r="H20" s="371">
        <f>'О поступлении денежных средств'!I21-'О поступлении денежных средств'!J21</f>
        <v>4274.21</v>
      </c>
      <c r="I20" s="358">
        <f>E20+H20</f>
        <v>15639.829999999994</v>
      </c>
      <c r="J20" s="372"/>
    </row>
    <row r="21" spans="1:10" ht="12.75">
      <c r="A21" s="374">
        <v>12</v>
      </c>
      <c r="B21" s="377" t="s">
        <v>195</v>
      </c>
      <c r="C21" s="378" t="s">
        <v>237</v>
      </c>
      <c r="D21" s="371" t="s">
        <v>196</v>
      </c>
      <c r="E21" s="371">
        <f>'О поступлении денежных средств'!E22-'О поступлении денежных средств'!F22</f>
        <v>1745.2399999999998</v>
      </c>
      <c r="F21" s="378" t="s">
        <v>237</v>
      </c>
      <c r="G21" s="371" t="s">
        <v>196</v>
      </c>
      <c r="H21" s="371">
        <f>'О поступлении денежных средств'!I22-'О поступлении денежных средств'!J22</f>
        <v>1145.6599999999999</v>
      </c>
      <c r="I21" s="358">
        <f>E21+H21</f>
        <v>2890.8999999999996</v>
      </c>
      <c r="J21" s="372"/>
    </row>
    <row r="22" spans="1:10" ht="12.75">
      <c r="A22" s="351">
        <v>13</v>
      </c>
      <c r="B22" s="377" t="s">
        <v>198</v>
      </c>
      <c r="C22" s="371">
        <v>1408.01</v>
      </c>
      <c r="D22" s="371">
        <v>1541.78</v>
      </c>
      <c r="E22" s="371">
        <f>'О поступлении денежных средств'!E23-'О поступлении денежных средств'!F23</f>
        <v>55513.29999999999</v>
      </c>
      <c r="F22" s="371">
        <v>1408.01</v>
      </c>
      <c r="G22" s="371">
        <v>1541.78</v>
      </c>
      <c r="H22" s="371">
        <f>'О поступлении денежных средств'!I23-'О поступлении денежных средств'!J23</f>
        <v>39957.01</v>
      </c>
      <c r="I22" s="358">
        <f>E22+H22</f>
        <v>95470.31</v>
      </c>
      <c r="J22" s="372"/>
    </row>
    <row r="23" spans="1:10" ht="12.75">
      <c r="A23" s="374">
        <v>14</v>
      </c>
      <c r="B23" s="377" t="s">
        <v>236</v>
      </c>
      <c r="C23" s="371">
        <v>84.48</v>
      </c>
      <c r="D23" s="371">
        <v>92.51</v>
      </c>
      <c r="E23" s="371">
        <f>'О поступлении денежных средств'!E24-'О поступлении денежных средств'!F24</f>
        <v>24670.070000000007</v>
      </c>
      <c r="F23" s="371">
        <v>84.48</v>
      </c>
      <c r="G23" s="371">
        <v>92.51</v>
      </c>
      <c r="H23" s="371">
        <f>'О поступлении денежных средств'!I24-'О поступлении денежных средств'!J24</f>
        <v>4524</v>
      </c>
      <c r="I23" s="358">
        <f>E23+H23</f>
        <v>29194.070000000007</v>
      </c>
      <c r="J23" s="372"/>
    </row>
    <row r="24" spans="1:10" ht="12.75">
      <c r="A24" s="351"/>
      <c r="B24" s="352" t="s">
        <v>200</v>
      </c>
      <c r="C24" s="354" t="s">
        <v>127</v>
      </c>
      <c r="D24" s="354" t="s">
        <v>127</v>
      </c>
      <c r="E24" s="354">
        <f>SUM(E19:E23)</f>
        <v>97816.26999999999</v>
      </c>
      <c r="F24" s="354"/>
      <c r="G24" s="354"/>
      <c r="H24" s="354">
        <f>SUM(H19:H23)</f>
        <v>52312.37</v>
      </c>
      <c r="I24" s="354">
        <f>SUM(I19:I23)</f>
        <v>150128.64</v>
      </c>
      <c r="J24" s="356"/>
    </row>
    <row r="25" spans="1:10" ht="12.75">
      <c r="A25" s="351"/>
      <c r="B25" s="352" t="s">
        <v>126</v>
      </c>
      <c r="C25" s="354" t="s">
        <v>127</v>
      </c>
      <c r="D25" s="354" t="s">
        <v>127</v>
      </c>
      <c r="E25" s="354">
        <f>E18+E24</f>
        <v>133578.31</v>
      </c>
      <c r="F25" s="354"/>
      <c r="G25" s="354"/>
      <c r="H25" s="354">
        <f>H18+H24</f>
        <v>84514.04000000001</v>
      </c>
      <c r="I25" s="354">
        <f>I18+I24</f>
        <v>218092.35000000003</v>
      </c>
      <c r="J25" s="356"/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7.625" style="0" customWidth="1"/>
    <col min="2" max="2" width="52.375" style="0" customWidth="1"/>
    <col min="3" max="3" width="14.25390625" style="0" customWidth="1"/>
    <col min="7" max="7" width="43.625" style="0" customWidth="1"/>
  </cols>
  <sheetData>
    <row r="1" spans="1:3" ht="20.25">
      <c r="A1" s="505" t="s">
        <v>245</v>
      </c>
      <c r="B1" s="505"/>
      <c r="C1" s="505"/>
    </row>
    <row r="2" spans="1:3" ht="63" customHeight="1">
      <c r="A2" s="291" t="s">
        <v>204</v>
      </c>
      <c r="B2" s="292" t="s">
        <v>205</v>
      </c>
      <c r="C2" s="291" t="s">
        <v>206</v>
      </c>
    </row>
    <row r="3" spans="1:3" ht="18.75" customHeight="1">
      <c r="A3" s="291">
        <v>1</v>
      </c>
      <c r="B3" s="292" t="s">
        <v>207</v>
      </c>
      <c r="C3" s="291">
        <v>1.18</v>
      </c>
    </row>
    <row r="4" spans="1:7" ht="108" customHeight="1">
      <c r="A4" s="291">
        <v>2</v>
      </c>
      <c r="B4" s="292" t="s">
        <v>208</v>
      </c>
      <c r="C4" s="291">
        <v>9.59</v>
      </c>
      <c r="G4" s="293"/>
    </row>
    <row r="5" spans="1:7" ht="108" customHeight="1">
      <c r="A5" s="291" t="s">
        <v>209</v>
      </c>
      <c r="B5" s="292" t="s">
        <v>210</v>
      </c>
      <c r="C5" s="291">
        <v>3.76</v>
      </c>
      <c r="G5" s="293"/>
    </row>
    <row r="6" spans="1:7" ht="24" customHeight="1">
      <c r="A6" s="291" t="s">
        <v>211</v>
      </c>
      <c r="B6" s="292" t="s">
        <v>212</v>
      </c>
      <c r="C6" s="301" t="s">
        <v>213</v>
      </c>
      <c r="G6" s="293"/>
    </row>
    <row r="7" spans="1:7" ht="49.5" customHeight="1">
      <c r="A7" s="300" t="s">
        <v>214</v>
      </c>
      <c r="B7" s="292" t="s">
        <v>215</v>
      </c>
      <c r="C7" s="301">
        <v>0.37</v>
      </c>
      <c r="G7" s="293"/>
    </row>
    <row r="8" spans="1:7" ht="24" customHeight="1">
      <c r="A8" s="291" t="s">
        <v>216</v>
      </c>
      <c r="B8" s="292" t="s">
        <v>217</v>
      </c>
      <c r="C8" s="301">
        <v>1.27</v>
      </c>
      <c r="G8" s="293"/>
    </row>
    <row r="9" spans="1:7" ht="32.25" customHeight="1">
      <c r="A9" s="291" t="s">
        <v>218</v>
      </c>
      <c r="B9" s="292" t="s">
        <v>219</v>
      </c>
      <c r="C9" s="301">
        <v>1.44</v>
      </c>
      <c r="G9" s="293"/>
    </row>
    <row r="10" spans="1:7" ht="27" customHeight="1">
      <c r="A10" s="291" t="s">
        <v>220</v>
      </c>
      <c r="B10" s="292" t="s">
        <v>221</v>
      </c>
      <c r="C10" s="301">
        <v>0.06</v>
      </c>
      <c r="G10" s="293"/>
    </row>
    <row r="11" spans="1:7" ht="63" customHeight="1">
      <c r="A11" s="300" t="s">
        <v>222</v>
      </c>
      <c r="B11" s="292" t="s">
        <v>223</v>
      </c>
      <c r="C11" s="301">
        <v>0.23</v>
      </c>
      <c r="G11" s="293"/>
    </row>
    <row r="12" spans="1:7" ht="36" customHeight="1">
      <c r="A12" s="291" t="s">
        <v>224</v>
      </c>
      <c r="B12" s="292" t="s">
        <v>171</v>
      </c>
      <c r="C12" s="291">
        <v>1.68</v>
      </c>
      <c r="G12" s="293"/>
    </row>
    <row r="13" spans="1:7" ht="36" customHeight="1">
      <c r="A13" s="291" t="s">
        <v>225</v>
      </c>
      <c r="B13" s="292" t="s">
        <v>226</v>
      </c>
      <c r="C13" s="291">
        <v>3.56</v>
      </c>
      <c r="G13" s="293"/>
    </row>
    <row r="14" spans="1:7" ht="30" customHeight="1">
      <c r="A14" s="291" t="s">
        <v>227</v>
      </c>
      <c r="B14" s="292" t="s">
        <v>228</v>
      </c>
      <c r="C14" s="291">
        <v>0.59</v>
      </c>
      <c r="G14" s="293"/>
    </row>
    <row r="15" spans="1:3" ht="63">
      <c r="A15" s="291">
        <v>3</v>
      </c>
      <c r="B15" s="292" t="s">
        <v>229</v>
      </c>
      <c r="C15" s="291">
        <v>5.08</v>
      </c>
    </row>
    <row r="16" spans="1:3" ht="94.5">
      <c r="A16" s="291">
        <v>4</v>
      </c>
      <c r="B16" s="292" t="s">
        <v>230</v>
      </c>
      <c r="C16" s="291">
        <v>1.41</v>
      </c>
    </row>
    <row r="17" spans="1:3" ht="31.5">
      <c r="A17" s="291">
        <v>5</v>
      </c>
      <c r="B17" s="292" t="s">
        <v>231</v>
      </c>
      <c r="C17" s="291">
        <v>1.26</v>
      </c>
    </row>
    <row r="18" spans="1:3" ht="78.75">
      <c r="A18" s="291">
        <v>6</v>
      </c>
      <c r="B18" s="292" t="s">
        <v>232</v>
      </c>
      <c r="C18" s="291">
        <v>0.34</v>
      </c>
    </row>
    <row r="19" spans="1:3" ht="47.25">
      <c r="A19" s="291">
        <v>7</v>
      </c>
      <c r="B19" s="292" t="s">
        <v>233</v>
      </c>
      <c r="C19" s="291">
        <v>0.41</v>
      </c>
    </row>
    <row r="20" spans="1:3" ht="63">
      <c r="A20" s="291">
        <v>8</v>
      </c>
      <c r="B20" s="292" t="s">
        <v>234</v>
      </c>
      <c r="C20" s="291">
        <v>0.56</v>
      </c>
    </row>
    <row r="21" spans="1:3" ht="63">
      <c r="A21" s="291">
        <v>9</v>
      </c>
      <c r="B21" s="292" t="s">
        <v>235</v>
      </c>
      <c r="C21" s="294">
        <v>0.48</v>
      </c>
    </row>
  </sheetData>
  <sheetProtection/>
  <mergeCells count="1">
    <mergeCell ref="A1:C1"/>
  </mergeCells>
  <printOptions/>
  <pageMargins left="1" right="1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16384"/>
    </sheetView>
  </sheetViews>
  <sheetFormatPr defaultColWidth="9.00390625" defaultRowHeight="12.75"/>
  <sheetData/>
  <sheetProtection/>
  <printOptions/>
  <pageMargins left="1" right="1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80" zoomScaleNormal="80" zoomScalePageLayoutView="0" workbookViewId="0" topLeftCell="A4">
      <pane xSplit="1" topLeftCell="C1" activePane="topRight" state="frozen"/>
      <selection pane="topLeft" activeCell="A13" sqref="A13"/>
      <selection pane="topRight" activeCell="P14" sqref="P14"/>
    </sheetView>
  </sheetViews>
  <sheetFormatPr defaultColWidth="9.00390625" defaultRowHeight="12.75"/>
  <cols>
    <col min="1" max="1" width="35.375" style="427" customWidth="1"/>
    <col min="2" max="2" width="15.75390625" style="428" customWidth="1"/>
    <col min="3" max="3" width="14.25390625" style="426" customWidth="1"/>
    <col min="4" max="5" width="14.00390625" style="426" customWidth="1"/>
    <col min="6" max="6" width="13.625" style="426" customWidth="1"/>
    <col min="7" max="8" width="13.25390625" style="422" customWidth="1"/>
    <col min="9" max="9" width="13.75390625" style="422" customWidth="1"/>
    <col min="10" max="11" width="13.125" style="423" customWidth="1"/>
    <col min="12" max="12" width="12.75390625" style="423" customWidth="1"/>
    <col min="13" max="14" width="12.125" style="424" customWidth="1"/>
    <col min="15" max="15" width="11.875" style="424" customWidth="1"/>
    <col min="16" max="16" width="15.00390625" style="386" customWidth="1"/>
    <col min="17" max="17" width="14.125" style="386" customWidth="1"/>
    <col min="18" max="16384" width="9.125" style="386" customWidth="1"/>
  </cols>
  <sheetData>
    <row r="1" spans="1:15" ht="12.75">
      <c r="A1" s="386"/>
      <c r="B1" s="386"/>
      <c r="C1" s="386"/>
      <c r="D1" s="508" t="s">
        <v>247</v>
      </c>
      <c r="E1" s="508"/>
      <c r="F1" s="508"/>
      <c r="G1" s="522" t="s">
        <v>248</v>
      </c>
      <c r="H1" s="522"/>
      <c r="I1" s="522"/>
      <c r="J1" s="523" t="s">
        <v>249</v>
      </c>
      <c r="K1" s="523"/>
      <c r="L1" s="523"/>
      <c r="M1" s="511" t="s">
        <v>250</v>
      </c>
      <c r="N1" s="511"/>
      <c r="O1" s="511"/>
    </row>
    <row r="2" spans="1:17" ht="14.25">
      <c r="A2" s="387" t="s">
        <v>16</v>
      </c>
      <c r="B2" s="388" t="s">
        <v>149</v>
      </c>
      <c r="C2" s="388" t="s">
        <v>149</v>
      </c>
      <c r="D2" s="389" t="s">
        <v>150</v>
      </c>
      <c r="E2" s="389"/>
      <c r="F2" s="389" t="s">
        <v>151</v>
      </c>
      <c r="G2" s="390" t="s">
        <v>150</v>
      </c>
      <c r="H2" s="390"/>
      <c r="I2" s="390" t="s">
        <v>151</v>
      </c>
      <c r="J2" s="391" t="s">
        <v>150</v>
      </c>
      <c r="K2" s="391"/>
      <c r="L2" s="391" t="s">
        <v>151</v>
      </c>
      <c r="M2" s="392" t="s">
        <v>150</v>
      </c>
      <c r="N2" s="392"/>
      <c r="O2" s="392" t="s">
        <v>151</v>
      </c>
      <c r="P2" s="526" t="s">
        <v>251</v>
      </c>
      <c r="Q2" s="526" t="s">
        <v>252</v>
      </c>
    </row>
    <row r="3" spans="1:17" ht="15">
      <c r="A3" s="393"/>
      <c r="B3" s="388" t="s">
        <v>155</v>
      </c>
      <c r="C3" s="388" t="s">
        <v>155</v>
      </c>
      <c r="D3" s="389" t="s">
        <v>156</v>
      </c>
      <c r="E3" s="389"/>
      <c r="F3" s="389" t="s">
        <v>156</v>
      </c>
      <c r="G3" s="390" t="s">
        <v>156</v>
      </c>
      <c r="H3" s="390"/>
      <c r="I3" s="390" t="s">
        <v>156</v>
      </c>
      <c r="J3" s="391" t="s">
        <v>156</v>
      </c>
      <c r="K3" s="391"/>
      <c r="L3" s="391" t="s">
        <v>156</v>
      </c>
      <c r="M3" s="392" t="s">
        <v>156</v>
      </c>
      <c r="N3" s="392"/>
      <c r="O3" s="392" t="s">
        <v>156</v>
      </c>
      <c r="P3" s="527"/>
      <c r="Q3" s="527"/>
    </row>
    <row r="4" spans="1:17" ht="15">
      <c r="A4" s="393"/>
      <c r="B4" s="388" t="s">
        <v>158</v>
      </c>
      <c r="C4" s="347" t="s">
        <v>159</v>
      </c>
      <c r="D4" s="389" t="s">
        <v>160</v>
      </c>
      <c r="E4" s="389"/>
      <c r="F4" s="389" t="s">
        <v>160</v>
      </c>
      <c r="G4" s="390" t="s">
        <v>160</v>
      </c>
      <c r="H4" s="390"/>
      <c r="I4" s="390" t="s">
        <v>160</v>
      </c>
      <c r="J4" s="391" t="s">
        <v>160</v>
      </c>
      <c r="K4" s="391"/>
      <c r="L4" s="391" t="s">
        <v>160</v>
      </c>
      <c r="M4" s="392" t="s">
        <v>160</v>
      </c>
      <c r="N4" s="392"/>
      <c r="O4" s="392" t="s">
        <v>160</v>
      </c>
      <c r="P4" s="527"/>
      <c r="Q4" s="527"/>
    </row>
    <row r="5" spans="1:17" ht="15">
      <c r="A5" s="393"/>
      <c r="B5" s="388" t="s">
        <v>161</v>
      </c>
      <c r="C5" s="388" t="s">
        <v>162</v>
      </c>
      <c r="D5" s="518">
        <v>85.6</v>
      </c>
      <c r="E5" s="529"/>
      <c r="F5" s="519"/>
      <c r="G5" s="512">
        <v>76.6</v>
      </c>
      <c r="H5" s="530"/>
      <c r="I5" s="513"/>
      <c r="J5" s="514">
        <v>76.6</v>
      </c>
      <c r="K5" s="531"/>
      <c r="L5" s="515"/>
      <c r="M5" s="516">
        <v>57</v>
      </c>
      <c r="N5" s="532"/>
      <c r="O5" s="517"/>
      <c r="P5" s="528"/>
      <c r="Q5" s="528"/>
    </row>
    <row r="6" spans="1:17" ht="15">
      <c r="A6" s="386"/>
      <c r="B6" s="394" t="e">
        <f>B7+B12+B13+#REF!+B14+B15+B17+B18+B19</f>
        <v>#REF!</v>
      </c>
      <c r="C6" s="394" t="e">
        <f>C7+C12+C13+#REF!+C14+C15+C17+C18+C19</f>
        <v>#REF!</v>
      </c>
      <c r="D6" s="395">
        <v>1</v>
      </c>
      <c r="E6" s="395">
        <v>2</v>
      </c>
      <c r="F6" s="395"/>
      <c r="G6" s="395">
        <v>1</v>
      </c>
      <c r="H6" s="395">
        <v>2</v>
      </c>
      <c r="I6" s="395"/>
      <c r="J6" s="395">
        <v>1</v>
      </c>
      <c r="K6" s="395">
        <v>2</v>
      </c>
      <c r="L6" s="395"/>
      <c r="M6" s="395">
        <v>1</v>
      </c>
      <c r="N6" s="395">
        <v>2</v>
      </c>
      <c r="O6" s="395"/>
      <c r="P6" s="396"/>
      <c r="Q6" s="396"/>
    </row>
    <row r="7" spans="1:17" ht="30">
      <c r="A7" s="350" t="s">
        <v>166</v>
      </c>
      <c r="B7" s="394">
        <v>9.47</v>
      </c>
      <c r="C7" s="394">
        <v>9.59</v>
      </c>
      <c r="D7" s="397">
        <f>B7*D5</f>
        <v>810.632</v>
      </c>
      <c r="E7" s="397">
        <f>C7*85.6</f>
        <v>820.9039999999999</v>
      </c>
      <c r="F7" s="397"/>
      <c r="G7" s="398">
        <f>B7*76.6</f>
        <v>725.402</v>
      </c>
      <c r="H7" s="398">
        <f>C7*76.6</f>
        <v>734.5939999999999</v>
      </c>
      <c r="I7" s="398"/>
      <c r="J7" s="399">
        <f>B7*76.6</f>
        <v>725.402</v>
      </c>
      <c r="K7" s="399">
        <f>C7*76.6</f>
        <v>734.5939999999999</v>
      </c>
      <c r="L7" s="399"/>
      <c r="M7" s="400">
        <f>B7*57</f>
        <v>539.7900000000001</v>
      </c>
      <c r="N7" s="400">
        <f>C7*57</f>
        <v>546.63</v>
      </c>
      <c r="O7" s="400"/>
      <c r="P7" s="401">
        <f>D7+E7+G7+H7+J7+K7+M7+N7</f>
        <v>5637.948</v>
      </c>
      <c r="Q7" s="401">
        <f>F7+I7+L7+O7</f>
        <v>0</v>
      </c>
    </row>
    <row r="8" spans="1:17" ht="75">
      <c r="A8" s="402" t="s">
        <v>168</v>
      </c>
      <c r="B8" s="403">
        <v>3.87</v>
      </c>
      <c r="C8" s="403">
        <v>3.76</v>
      </c>
      <c r="D8" s="397">
        <f>B8*85.6</f>
        <v>331.272</v>
      </c>
      <c r="E8" s="397">
        <f aca="true" t="shared" si="0" ref="E8:E19">C8*85.6</f>
        <v>321.85599999999994</v>
      </c>
      <c r="F8" s="397"/>
      <c r="G8" s="398">
        <f aca="true" t="shared" si="1" ref="G8:G19">B8*76.6</f>
        <v>296.442</v>
      </c>
      <c r="H8" s="398">
        <f aca="true" t="shared" si="2" ref="H8:H19">C8*76.6</f>
        <v>288.01599999999996</v>
      </c>
      <c r="I8" s="398"/>
      <c r="J8" s="399">
        <f aca="true" t="shared" si="3" ref="J8:J19">B8*76.6</f>
        <v>296.442</v>
      </c>
      <c r="K8" s="399">
        <f aca="true" t="shared" si="4" ref="K8:K19">C8*76.6</f>
        <v>288.01599999999996</v>
      </c>
      <c r="L8" s="399"/>
      <c r="M8" s="400">
        <f aca="true" t="shared" si="5" ref="M8:M19">B8*57</f>
        <v>220.59</v>
      </c>
      <c r="N8" s="400">
        <f aca="true" t="shared" si="6" ref="N8:N19">C8*57</f>
        <v>214.32</v>
      </c>
      <c r="O8" s="400"/>
      <c r="P8" s="401">
        <f aca="true" t="shared" si="7" ref="P8:P19">D8+E8+G8+H8+J8+K8+M8+N8</f>
        <v>2256.9539999999997</v>
      </c>
      <c r="Q8" s="401">
        <f aca="true" t="shared" si="8" ref="Q8:Q19">F8+I8+L8+O8</f>
        <v>0</v>
      </c>
    </row>
    <row r="9" spans="1:17" ht="15">
      <c r="A9" s="404" t="s">
        <v>171</v>
      </c>
      <c r="B9" s="405">
        <v>1.45</v>
      </c>
      <c r="C9" s="406">
        <v>1.68</v>
      </c>
      <c r="D9" s="397">
        <f>B9*85.6</f>
        <v>124.11999999999999</v>
      </c>
      <c r="E9" s="397">
        <f t="shared" si="0"/>
        <v>143.808</v>
      </c>
      <c r="F9" s="397"/>
      <c r="G9" s="398">
        <f t="shared" si="1"/>
        <v>111.07</v>
      </c>
      <c r="H9" s="398">
        <f t="shared" si="2"/>
        <v>128.688</v>
      </c>
      <c r="I9" s="398"/>
      <c r="J9" s="399">
        <f t="shared" si="3"/>
        <v>111.07</v>
      </c>
      <c r="K9" s="399">
        <f t="shared" si="4"/>
        <v>128.688</v>
      </c>
      <c r="L9" s="399"/>
      <c r="M9" s="400">
        <f t="shared" si="5"/>
        <v>82.64999999999999</v>
      </c>
      <c r="N9" s="400">
        <f t="shared" si="6"/>
        <v>95.75999999999999</v>
      </c>
      <c r="O9" s="400"/>
      <c r="P9" s="401">
        <f t="shared" si="7"/>
        <v>925.8539999999999</v>
      </c>
      <c r="Q9" s="401">
        <f t="shared" si="8"/>
        <v>0</v>
      </c>
    </row>
    <row r="10" spans="1:17" ht="30">
      <c r="A10" s="407" t="s">
        <v>173</v>
      </c>
      <c r="B10" s="406">
        <v>3.56</v>
      </c>
      <c r="C10" s="406">
        <v>3.56</v>
      </c>
      <c r="D10" s="397">
        <f>B10*85.6</f>
        <v>304.736</v>
      </c>
      <c r="E10" s="397">
        <f t="shared" si="0"/>
        <v>304.736</v>
      </c>
      <c r="F10" s="397"/>
      <c r="G10" s="398">
        <f t="shared" si="1"/>
        <v>272.69599999999997</v>
      </c>
      <c r="H10" s="398">
        <f t="shared" si="2"/>
        <v>272.69599999999997</v>
      </c>
      <c r="I10" s="398"/>
      <c r="J10" s="399">
        <f t="shared" si="3"/>
        <v>272.69599999999997</v>
      </c>
      <c r="K10" s="399">
        <f t="shared" si="4"/>
        <v>272.69599999999997</v>
      </c>
      <c r="L10" s="399"/>
      <c r="M10" s="400">
        <f t="shared" si="5"/>
        <v>202.92000000000002</v>
      </c>
      <c r="N10" s="400">
        <f t="shared" si="6"/>
        <v>202.92000000000002</v>
      </c>
      <c r="O10" s="400"/>
      <c r="P10" s="401">
        <f t="shared" si="7"/>
        <v>2106.0959999999995</v>
      </c>
      <c r="Q10" s="401">
        <f t="shared" si="8"/>
        <v>0</v>
      </c>
    </row>
    <row r="11" spans="1:17" ht="15">
      <c r="A11" s="407" t="s">
        <v>176</v>
      </c>
      <c r="B11" s="406">
        <v>0.59</v>
      </c>
      <c r="C11" s="406">
        <v>0.59</v>
      </c>
      <c r="D11" s="397">
        <f aca="true" t="shared" si="9" ref="D11:D19">B11*85.6</f>
        <v>50.50399999999999</v>
      </c>
      <c r="E11" s="397">
        <f t="shared" si="0"/>
        <v>50.50399999999999</v>
      </c>
      <c r="F11" s="397"/>
      <c r="G11" s="398">
        <f t="shared" si="1"/>
        <v>45.193999999999996</v>
      </c>
      <c r="H11" s="398">
        <f t="shared" si="2"/>
        <v>45.193999999999996</v>
      </c>
      <c r="I11" s="398"/>
      <c r="J11" s="399">
        <f t="shared" si="3"/>
        <v>45.193999999999996</v>
      </c>
      <c r="K11" s="399">
        <f t="shared" si="4"/>
        <v>45.193999999999996</v>
      </c>
      <c r="L11" s="399"/>
      <c r="M11" s="400">
        <f t="shared" si="5"/>
        <v>33.629999999999995</v>
      </c>
      <c r="N11" s="400">
        <f t="shared" si="6"/>
        <v>33.629999999999995</v>
      </c>
      <c r="O11" s="400"/>
      <c r="P11" s="401">
        <f t="shared" si="7"/>
        <v>349.0439999999999</v>
      </c>
      <c r="Q11" s="401">
        <f t="shared" si="8"/>
        <v>0</v>
      </c>
    </row>
    <row r="12" spans="1:17" ht="15">
      <c r="A12" s="402" t="s">
        <v>177</v>
      </c>
      <c r="B12" s="408">
        <v>0.81</v>
      </c>
      <c r="C12" s="408">
        <v>0.59</v>
      </c>
      <c r="D12" s="397">
        <f t="shared" si="9"/>
        <v>69.336</v>
      </c>
      <c r="E12" s="397">
        <f t="shared" si="0"/>
        <v>50.50399999999999</v>
      </c>
      <c r="F12" s="409"/>
      <c r="G12" s="398">
        <f t="shared" si="1"/>
        <v>62.046</v>
      </c>
      <c r="H12" s="398">
        <f t="shared" si="2"/>
        <v>45.193999999999996</v>
      </c>
      <c r="I12" s="410"/>
      <c r="J12" s="399">
        <f t="shared" si="3"/>
        <v>62.046</v>
      </c>
      <c r="K12" s="399">
        <f t="shared" si="4"/>
        <v>45.193999999999996</v>
      </c>
      <c r="L12" s="411"/>
      <c r="M12" s="400">
        <f t="shared" si="5"/>
        <v>46.17</v>
      </c>
      <c r="N12" s="400">
        <f t="shared" si="6"/>
        <v>33.629999999999995</v>
      </c>
      <c r="O12" s="412"/>
      <c r="P12" s="401">
        <f t="shared" si="7"/>
        <v>414.12</v>
      </c>
      <c r="Q12" s="401">
        <f t="shared" si="8"/>
        <v>0</v>
      </c>
    </row>
    <row r="13" spans="1:17" ht="31.5" customHeight="1">
      <c r="A13" s="413" t="s">
        <v>179</v>
      </c>
      <c r="B13" s="414">
        <v>5.08</v>
      </c>
      <c r="C13" s="414">
        <f>B13</f>
        <v>5.08</v>
      </c>
      <c r="D13" s="397">
        <f t="shared" si="9"/>
        <v>434.84799999999996</v>
      </c>
      <c r="E13" s="397">
        <f t="shared" si="0"/>
        <v>434.84799999999996</v>
      </c>
      <c r="F13" s="415"/>
      <c r="G13" s="398">
        <f t="shared" si="1"/>
        <v>389.128</v>
      </c>
      <c r="H13" s="398">
        <f t="shared" si="2"/>
        <v>389.128</v>
      </c>
      <c r="I13" s="416"/>
      <c r="J13" s="399">
        <f t="shared" si="3"/>
        <v>389.128</v>
      </c>
      <c r="K13" s="399">
        <f t="shared" si="4"/>
        <v>389.128</v>
      </c>
      <c r="L13" s="417"/>
      <c r="M13" s="400">
        <f t="shared" si="5"/>
        <v>289.56</v>
      </c>
      <c r="N13" s="400">
        <f t="shared" si="6"/>
        <v>289.56</v>
      </c>
      <c r="O13" s="418"/>
      <c r="P13" s="401">
        <f t="shared" si="7"/>
        <v>3005.3279999999995</v>
      </c>
      <c r="Q13" s="401">
        <f t="shared" si="8"/>
        <v>0</v>
      </c>
    </row>
    <row r="14" spans="1:17" ht="30">
      <c r="A14" s="419" t="s">
        <v>182</v>
      </c>
      <c r="B14" s="408">
        <v>1.29</v>
      </c>
      <c r="C14" s="408">
        <v>1.41</v>
      </c>
      <c r="D14" s="397">
        <f t="shared" si="9"/>
        <v>110.42399999999999</v>
      </c>
      <c r="E14" s="397">
        <f t="shared" si="0"/>
        <v>120.69599999999998</v>
      </c>
      <c r="F14" s="409"/>
      <c r="G14" s="398">
        <f t="shared" si="1"/>
        <v>98.814</v>
      </c>
      <c r="H14" s="398">
        <f t="shared" si="2"/>
        <v>108.00599999999999</v>
      </c>
      <c r="I14" s="410"/>
      <c r="J14" s="399">
        <f t="shared" si="3"/>
        <v>98.814</v>
      </c>
      <c r="K14" s="399">
        <f t="shared" si="4"/>
        <v>108.00599999999999</v>
      </c>
      <c r="L14" s="411"/>
      <c r="M14" s="400">
        <f t="shared" si="5"/>
        <v>73.53</v>
      </c>
      <c r="N14" s="400">
        <f t="shared" si="6"/>
        <v>80.36999999999999</v>
      </c>
      <c r="O14" s="412"/>
      <c r="P14" s="401">
        <f t="shared" si="7"/>
        <v>798.6599999999999</v>
      </c>
      <c r="Q14" s="401">
        <f t="shared" si="8"/>
        <v>0</v>
      </c>
    </row>
    <row r="15" spans="1:17" ht="45">
      <c r="A15" s="420" t="s">
        <v>183</v>
      </c>
      <c r="B15" s="408">
        <v>0.53</v>
      </c>
      <c r="C15" s="408">
        <v>0.34</v>
      </c>
      <c r="D15" s="397">
        <f t="shared" si="9"/>
        <v>45.368</v>
      </c>
      <c r="E15" s="397">
        <f t="shared" si="0"/>
        <v>29.104</v>
      </c>
      <c r="F15" s="409"/>
      <c r="G15" s="398">
        <f t="shared" si="1"/>
        <v>40.598</v>
      </c>
      <c r="H15" s="398">
        <f t="shared" si="2"/>
        <v>26.044</v>
      </c>
      <c r="I15" s="410"/>
      <c r="J15" s="399">
        <f t="shared" si="3"/>
        <v>40.598</v>
      </c>
      <c r="K15" s="399">
        <f t="shared" si="4"/>
        <v>26.044</v>
      </c>
      <c r="L15" s="411"/>
      <c r="M15" s="400">
        <f t="shared" si="5"/>
        <v>30.21</v>
      </c>
      <c r="N15" s="400">
        <f t="shared" si="6"/>
        <v>19.380000000000003</v>
      </c>
      <c r="O15" s="412"/>
      <c r="P15" s="401">
        <f t="shared" si="7"/>
        <v>257.346</v>
      </c>
      <c r="Q15" s="401">
        <f t="shared" si="8"/>
        <v>0</v>
      </c>
    </row>
    <row r="16" spans="1:17" ht="15">
      <c r="A16" s="420" t="s">
        <v>100</v>
      </c>
      <c r="B16" s="408">
        <v>4.07</v>
      </c>
      <c r="C16" s="408">
        <v>4.07</v>
      </c>
      <c r="D16" s="397">
        <f t="shared" si="9"/>
        <v>348.392</v>
      </c>
      <c r="E16" s="397">
        <f t="shared" si="0"/>
        <v>348.392</v>
      </c>
      <c r="F16" s="409"/>
      <c r="G16" s="398">
        <f t="shared" si="1"/>
        <v>311.762</v>
      </c>
      <c r="H16" s="398">
        <f t="shared" si="2"/>
        <v>311.762</v>
      </c>
      <c r="I16" s="410"/>
      <c r="J16" s="399">
        <f t="shared" si="3"/>
        <v>311.762</v>
      </c>
      <c r="K16" s="399">
        <f t="shared" si="4"/>
        <v>311.762</v>
      </c>
      <c r="L16" s="411"/>
      <c r="M16" s="400">
        <f t="shared" si="5"/>
        <v>231.99</v>
      </c>
      <c r="N16" s="400">
        <f t="shared" si="6"/>
        <v>231.99</v>
      </c>
      <c r="O16" s="412"/>
      <c r="P16" s="401">
        <f t="shared" si="7"/>
        <v>2407.812</v>
      </c>
      <c r="Q16" s="401">
        <f t="shared" si="8"/>
        <v>0</v>
      </c>
    </row>
    <row r="17" spans="1:17" ht="30">
      <c r="A17" s="420" t="s">
        <v>185</v>
      </c>
      <c r="B17" s="408">
        <v>0.56</v>
      </c>
      <c r="C17" s="408">
        <v>0.56</v>
      </c>
      <c r="D17" s="397">
        <f t="shared" si="9"/>
        <v>47.936</v>
      </c>
      <c r="E17" s="397">
        <f t="shared" si="0"/>
        <v>47.936</v>
      </c>
      <c r="F17" s="409"/>
      <c r="G17" s="398">
        <f t="shared" si="1"/>
        <v>42.896</v>
      </c>
      <c r="H17" s="398">
        <f t="shared" si="2"/>
        <v>42.896</v>
      </c>
      <c r="I17" s="410"/>
      <c r="J17" s="399">
        <f t="shared" si="3"/>
        <v>42.896</v>
      </c>
      <c r="K17" s="399">
        <f t="shared" si="4"/>
        <v>42.896</v>
      </c>
      <c r="L17" s="411"/>
      <c r="M17" s="400">
        <f t="shared" si="5"/>
        <v>31.92</v>
      </c>
      <c r="N17" s="400">
        <f t="shared" si="6"/>
        <v>31.92</v>
      </c>
      <c r="O17" s="412"/>
      <c r="P17" s="401">
        <f t="shared" si="7"/>
        <v>331.29600000000005</v>
      </c>
      <c r="Q17" s="401">
        <f t="shared" si="8"/>
        <v>0</v>
      </c>
    </row>
    <row r="18" spans="1:17" ht="15">
      <c r="A18" s="420" t="s">
        <v>187</v>
      </c>
      <c r="B18" s="408">
        <v>2.5</v>
      </c>
      <c r="C18" s="408">
        <v>3</v>
      </c>
      <c r="D18" s="397">
        <f t="shared" si="9"/>
        <v>214</v>
      </c>
      <c r="E18" s="397">
        <f t="shared" si="0"/>
        <v>256.79999999999995</v>
      </c>
      <c r="F18" s="409"/>
      <c r="G18" s="398">
        <f t="shared" si="1"/>
        <v>191.5</v>
      </c>
      <c r="H18" s="398">
        <f t="shared" si="2"/>
        <v>229.79999999999998</v>
      </c>
      <c r="I18" s="410"/>
      <c r="J18" s="399">
        <f t="shared" si="3"/>
        <v>191.5</v>
      </c>
      <c r="K18" s="399">
        <f t="shared" si="4"/>
        <v>229.79999999999998</v>
      </c>
      <c r="L18" s="411"/>
      <c r="M18" s="400">
        <f t="shared" si="5"/>
        <v>142.5</v>
      </c>
      <c r="N18" s="400">
        <f t="shared" si="6"/>
        <v>171</v>
      </c>
      <c r="O18" s="412"/>
      <c r="P18" s="401">
        <f t="shared" si="7"/>
        <v>1626.8999999999999</v>
      </c>
      <c r="Q18" s="401">
        <f t="shared" si="8"/>
        <v>0</v>
      </c>
    </row>
    <row r="19" spans="1:17" ht="45">
      <c r="A19" s="350" t="s">
        <v>246</v>
      </c>
      <c r="B19" s="414">
        <v>1.18</v>
      </c>
      <c r="C19" s="414">
        <f>B19</f>
        <v>1.18</v>
      </c>
      <c r="D19" s="397">
        <f t="shared" si="9"/>
        <v>101.00799999999998</v>
      </c>
      <c r="E19" s="397">
        <f t="shared" si="0"/>
        <v>101.00799999999998</v>
      </c>
      <c r="F19" s="415"/>
      <c r="G19" s="398">
        <f t="shared" si="1"/>
        <v>90.38799999999999</v>
      </c>
      <c r="H19" s="398">
        <f t="shared" si="2"/>
        <v>90.38799999999999</v>
      </c>
      <c r="I19" s="416"/>
      <c r="J19" s="399">
        <f t="shared" si="3"/>
        <v>90.38799999999999</v>
      </c>
      <c r="K19" s="399">
        <f t="shared" si="4"/>
        <v>90.38799999999999</v>
      </c>
      <c r="L19" s="417"/>
      <c r="M19" s="400">
        <f t="shared" si="5"/>
        <v>67.25999999999999</v>
      </c>
      <c r="N19" s="400">
        <f t="shared" si="6"/>
        <v>67.25999999999999</v>
      </c>
      <c r="O19" s="418"/>
      <c r="P19" s="401">
        <f t="shared" si="7"/>
        <v>698.0879999999999</v>
      </c>
      <c r="Q19" s="401">
        <f t="shared" si="8"/>
        <v>0</v>
      </c>
    </row>
    <row r="20" spans="1:17" ht="30">
      <c r="A20" s="387" t="s">
        <v>190</v>
      </c>
      <c r="B20" s="408" t="s">
        <v>191</v>
      </c>
      <c r="C20" s="408" t="s">
        <v>191</v>
      </c>
      <c r="D20" s="389">
        <f aca="true" t="shared" si="10" ref="D20:O20">SUM(D12:D19)+D7</f>
        <v>2181.944</v>
      </c>
      <c r="E20" s="389">
        <f t="shared" si="10"/>
        <v>2210.192</v>
      </c>
      <c r="F20" s="389">
        <f t="shared" si="10"/>
        <v>0</v>
      </c>
      <c r="G20" s="390">
        <f t="shared" si="10"/>
        <v>1952.5339999999999</v>
      </c>
      <c r="H20" s="390">
        <f t="shared" si="10"/>
        <v>1977.812</v>
      </c>
      <c r="I20" s="390">
        <f t="shared" si="10"/>
        <v>0</v>
      </c>
      <c r="J20" s="391">
        <f t="shared" si="10"/>
        <v>1952.5339999999999</v>
      </c>
      <c r="K20" s="391">
        <f t="shared" si="10"/>
        <v>1977.812</v>
      </c>
      <c r="L20" s="391">
        <f t="shared" si="10"/>
        <v>0</v>
      </c>
      <c r="M20" s="392">
        <f t="shared" si="10"/>
        <v>1452.93</v>
      </c>
      <c r="N20" s="392">
        <f t="shared" si="10"/>
        <v>1471.74</v>
      </c>
      <c r="O20" s="392">
        <f t="shared" si="10"/>
        <v>0</v>
      </c>
      <c r="P20" s="401"/>
      <c r="Q20" s="401"/>
    </row>
    <row r="21" spans="1:17" ht="15">
      <c r="A21" s="387"/>
      <c r="B21" s="408"/>
      <c r="C21" s="408"/>
      <c r="D21" s="518">
        <f>D20+E20</f>
        <v>4392.136</v>
      </c>
      <c r="E21" s="519"/>
      <c r="F21" s="389"/>
      <c r="G21" s="512">
        <f>G20+H20</f>
        <v>3930.3459999999995</v>
      </c>
      <c r="H21" s="513"/>
      <c r="I21" s="390"/>
      <c r="J21" s="514">
        <f>J20+K20</f>
        <v>3930.3459999999995</v>
      </c>
      <c r="K21" s="515"/>
      <c r="L21" s="391"/>
      <c r="M21" s="516">
        <f>M20+N20</f>
        <v>2924.67</v>
      </c>
      <c r="N21" s="517"/>
      <c r="O21" s="392"/>
      <c r="P21" s="401"/>
      <c r="Q21" s="401"/>
    </row>
    <row r="22" spans="1:17" ht="15">
      <c r="A22" s="393" t="s">
        <v>192</v>
      </c>
      <c r="B22" s="408">
        <v>21.03</v>
      </c>
      <c r="C22" s="408">
        <v>23.13</v>
      </c>
      <c r="D22" s="506">
        <v>750.86</v>
      </c>
      <c r="E22" s="507"/>
      <c r="F22" s="409"/>
      <c r="G22" s="520">
        <v>1063.82</v>
      </c>
      <c r="H22" s="521"/>
      <c r="I22" s="410"/>
      <c r="J22" s="509">
        <v>3864.71</v>
      </c>
      <c r="K22" s="510"/>
      <c r="L22" s="411"/>
      <c r="M22" s="533">
        <v>996.99</v>
      </c>
      <c r="N22" s="534"/>
      <c r="O22" s="412"/>
      <c r="P22" s="401">
        <f>D22+G22+J22+M22</f>
        <v>6676.379999999999</v>
      </c>
      <c r="Q22" s="401">
        <f>F22+I22+L22+O22</f>
        <v>0</v>
      </c>
    </row>
    <row r="23" spans="1:17" ht="15">
      <c r="A23" s="393" t="s">
        <v>194</v>
      </c>
      <c r="B23" s="408">
        <v>21.03</v>
      </c>
      <c r="C23" s="408">
        <v>23.13</v>
      </c>
      <c r="D23" s="506">
        <v>67.66</v>
      </c>
      <c r="E23" s="507"/>
      <c r="F23" s="409"/>
      <c r="G23" s="520">
        <v>376.04</v>
      </c>
      <c r="H23" s="521"/>
      <c r="I23" s="410"/>
      <c r="J23" s="509">
        <v>1234.56</v>
      </c>
      <c r="K23" s="510"/>
      <c r="L23" s="411"/>
      <c r="M23" s="533">
        <v>297.23</v>
      </c>
      <c r="N23" s="534"/>
      <c r="O23" s="412"/>
      <c r="P23" s="401">
        <f>D23+G23+J23+M23</f>
        <v>1975.49</v>
      </c>
      <c r="Q23" s="401">
        <f>F23+I23+L23+O23</f>
        <v>0</v>
      </c>
    </row>
    <row r="24" spans="1:17" ht="15">
      <c r="A24" s="421" t="s">
        <v>195</v>
      </c>
      <c r="B24" s="348" t="s">
        <v>237</v>
      </c>
      <c r="C24" s="408" t="s">
        <v>196</v>
      </c>
      <c r="D24" s="506">
        <v>1556.45</v>
      </c>
      <c r="E24" s="507"/>
      <c r="F24" s="409"/>
      <c r="G24" s="520">
        <v>1110.89</v>
      </c>
      <c r="H24" s="521"/>
      <c r="I24" s="410"/>
      <c r="J24" s="509">
        <v>1616.68</v>
      </c>
      <c r="K24" s="510"/>
      <c r="L24" s="411"/>
      <c r="M24" s="533">
        <v>1152.26</v>
      </c>
      <c r="N24" s="534"/>
      <c r="O24" s="412"/>
      <c r="P24" s="401">
        <f>D24+G24+J24+M24</f>
        <v>5436.280000000001</v>
      </c>
      <c r="Q24" s="401">
        <f>F24+I24+L24+O24</f>
        <v>0</v>
      </c>
    </row>
    <row r="25" spans="1:17" ht="15">
      <c r="A25" s="421" t="s">
        <v>198</v>
      </c>
      <c r="B25" s="408">
        <v>1408.01</v>
      </c>
      <c r="C25" s="408">
        <v>1541.78</v>
      </c>
      <c r="D25" s="506">
        <v>26504.87</v>
      </c>
      <c r="E25" s="507"/>
      <c r="F25" s="409"/>
      <c r="G25" s="520">
        <v>22038.98</v>
      </c>
      <c r="H25" s="521"/>
      <c r="I25" s="410"/>
      <c r="J25" s="509">
        <v>22040.36</v>
      </c>
      <c r="K25" s="510"/>
      <c r="L25" s="411"/>
      <c r="M25" s="533">
        <v>17649.9</v>
      </c>
      <c r="N25" s="534"/>
      <c r="O25" s="412"/>
      <c r="P25" s="401">
        <f>D25+G25+J25+M25</f>
        <v>88234.10999999999</v>
      </c>
      <c r="Q25" s="401">
        <f>F25+I25+L25+O25</f>
        <v>0</v>
      </c>
    </row>
    <row r="26" spans="1:17" ht="15">
      <c r="A26" s="421" t="s">
        <v>236</v>
      </c>
      <c r="B26" s="408">
        <v>84.48</v>
      </c>
      <c r="C26" s="408">
        <v>92.51</v>
      </c>
      <c r="D26" s="506">
        <v>370.04</v>
      </c>
      <c r="E26" s="507"/>
      <c r="F26" s="409"/>
      <c r="G26" s="520">
        <v>506.88</v>
      </c>
      <c r="H26" s="521"/>
      <c r="I26" s="410"/>
      <c r="J26" s="509">
        <v>2998.04</v>
      </c>
      <c r="K26" s="510"/>
      <c r="L26" s="411"/>
      <c r="M26" s="533">
        <v>1061.94</v>
      </c>
      <c r="N26" s="534"/>
      <c r="O26" s="412"/>
      <c r="P26" s="401">
        <f>D26+G26+J26+M26</f>
        <v>4936.9</v>
      </c>
      <c r="Q26" s="401">
        <f>F26+I26+L26+O26</f>
        <v>0</v>
      </c>
    </row>
    <row r="27" spans="1:17" ht="14.25">
      <c r="A27" s="387" t="s">
        <v>200</v>
      </c>
      <c r="B27" s="347" t="s">
        <v>127</v>
      </c>
      <c r="C27" s="347" t="s">
        <v>127</v>
      </c>
      <c r="D27" s="524">
        <f>SUM(D22:E26)</f>
        <v>29249.88</v>
      </c>
      <c r="E27" s="525"/>
      <c r="F27" s="389">
        <f>SUM(F22:F26)</f>
        <v>0</v>
      </c>
      <c r="G27" s="512">
        <f>SUM(G22:H26)</f>
        <v>25096.61</v>
      </c>
      <c r="H27" s="513"/>
      <c r="I27" s="390">
        <f>SUM(I22:I26)</f>
        <v>0</v>
      </c>
      <c r="J27" s="514">
        <f>SUM(J22:K26)</f>
        <v>31754.350000000002</v>
      </c>
      <c r="K27" s="515"/>
      <c r="L27" s="391">
        <f>SUM(L22:L26)</f>
        <v>0</v>
      </c>
      <c r="M27" s="516">
        <f>SUM(M22:N26)</f>
        <v>21158.32</v>
      </c>
      <c r="N27" s="517"/>
      <c r="O27" s="392">
        <f>SUM(O22:O26)</f>
        <v>0</v>
      </c>
      <c r="P27" s="401"/>
      <c r="Q27" s="401"/>
    </row>
    <row r="28" spans="1:17" ht="14.25">
      <c r="A28" s="387" t="s">
        <v>126</v>
      </c>
      <c r="B28" s="347" t="s">
        <v>127</v>
      </c>
      <c r="C28" s="347" t="s">
        <v>127</v>
      </c>
      <c r="D28" s="389"/>
      <c r="E28" s="389"/>
      <c r="F28" s="389">
        <f>F20+F27</f>
        <v>0</v>
      </c>
      <c r="G28" s="390"/>
      <c r="H28" s="390"/>
      <c r="I28" s="390">
        <f>I20+I27</f>
        <v>0</v>
      </c>
      <c r="J28" s="391"/>
      <c r="K28" s="391"/>
      <c r="L28" s="391">
        <f>L20+L27</f>
        <v>0</v>
      </c>
      <c r="M28" s="392"/>
      <c r="N28" s="392"/>
      <c r="O28" s="392">
        <f>O20+O27</f>
        <v>0</v>
      </c>
      <c r="P28" s="396"/>
      <c r="Q28" s="401"/>
    </row>
    <row r="29" spans="1:6" ht="12.75">
      <c r="A29" s="386"/>
      <c r="B29" s="386"/>
      <c r="C29" s="386"/>
      <c r="D29" s="386"/>
      <c r="E29" s="386"/>
      <c r="F29" s="386"/>
    </row>
    <row r="30" spans="1:6" ht="12.75">
      <c r="A30" s="386"/>
      <c r="B30" s="386"/>
      <c r="C30" s="386"/>
      <c r="D30" s="386"/>
      <c r="E30" s="386"/>
      <c r="F30" s="386"/>
    </row>
    <row r="31" spans="1:6" ht="12.75">
      <c r="A31" s="386"/>
      <c r="B31" s="386"/>
      <c r="C31" s="386"/>
      <c r="D31" s="386"/>
      <c r="E31" s="386"/>
      <c r="F31" s="386"/>
    </row>
    <row r="32" spans="1:2" ht="12.75">
      <c r="A32" s="425"/>
      <c r="B32" s="426"/>
    </row>
  </sheetData>
  <sheetProtection/>
  <mergeCells count="38">
    <mergeCell ref="D26:E26"/>
    <mergeCell ref="M5:O5"/>
    <mergeCell ref="J26:K26"/>
    <mergeCell ref="M22:N22"/>
    <mergeCell ref="M23:N23"/>
    <mergeCell ref="M24:N24"/>
    <mergeCell ref="M25:N25"/>
    <mergeCell ref="M26:N26"/>
    <mergeCell ref="D24:E24"/>
    <mergeCell ref="D25:E25"/>
    <mergeCell ref="D27:E27"/>
    <mergeCell ref="P2:P5"/>
    <mergeCell ref="Q2:Q5"/>
    <mergeCell ref="G24:H24"/>
    <mergeCell ref="G25:H25"/>
    <mergeCell ref="G26:H26"/>
    <mergeCell ref="J24:K24"/>
    <mergeCell ref="D5:F5"/>
    <mergeCell ref="G5:I5"/>
    <mergeCell ref="J5:L5"/>
    <mergeCell ref="G21:H21"/>
    <mergeCell ref="M21:N21"/>
    <mergeCell ref="G23:H23"/>
    <mergeCell ref="J22:K22"/>
    <mergeCell ref="J23:K23"/>
    <mergeCell ref="G1:I1"/>
    <mergeCell ref="J1:L1"/>
    <mergeCell ref="G22:H22"/>
    <mergeCell ref="D22:E22"/>
    <mergeCell ref="D23:E23"/>
    <mergeCell ref="D1:F1"/>
    <mergeCell ref="J25:K25"/>
    <mergeCell ref="M1:O1"/>
    <mergeCell ref="G27:H27"/>
    <mergeCell ref="J27:K27"/>
    <mergeCell ref="M27:N27"/>
    <mergeCell ref="D21:E21"/>
    <mergeCell ref="J21:K21"/>
  </mergeCells>
  <printOptions/>
  <pageMargins left="0.7" right="0.7" top="0.75" bottom="0.75" header="0.3" footer="0.3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2016-05-20T10:44:56Z</cp:lastPrinted>
  <dcterms:created xsi:type="dcterms:W3CDTF">2016-03-22T12:45:07Z</dcterms:created>
  <dcterms:modified xsi:type="dcterms:W3CDTF">2016-06-22T11:56:25Z</dcterms:modified>
  <cp:category/>
  <cp:version/>
  <cp:contentType/>
  <cp:contentStatus/>
</cp:coreProperties>
</file>