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800" windowHeight="11700" firstSheet="1" activeTab="3"/>
  </bookViews>
  <sheets>
    <sheet name="Лист1" sheetId="1" state="hidden" r:id="rId1"/>
    <sheet name="титул" sheetId="2" r:id="rId2"/>
    <sheet name="2009" sheetId="3" state="hidden" r:id="rId3"/>
    <sheet name="О поступлении денежных средств" sheetId="4" r:id="rId4"/>
    <sheet name="Задолженность нежилой фонд" sheetId="5" r:id="rId5"/>
    <sheet name="Справка о тарифах" sheetId="6" r:id="rId6"/>
  </sheets>
  <definedNames/>
  <calcPr fullCalcOnLoad="1" refMode="R1C1"/>
</workbook>
</file>

<file path=xl/comments3.xml><?xml version="1.0" encoding="utf-8"?>
<comments xmlns="http://schemas.openxmlformats.org/spreadsheetml/2006/main">
  <authors>
    <author>Infraware Corporation</author>
  </authors>
  <commentList>
    <comment ref="R10" authorId="0">
      <text>
        <r>
          <rPr>
            <b/>
            <sz val="8"/>
            <rFont val="Tahoma"/>
            <family val="2"/>
          </rPr>
          <t>Бух:</t>
        </r>
        <r>
          <rPr>
            <sz val="8"/>
            <rFont val="Tahoma"/>
            <family val="2"/>
          </rPr>
          <t xml:space="preserve">
2095*4мес=8380
2280*8мес=18240
Всего:26620</t>
        </r>
      </text>
    </comment>
    <comment ref="R11" authorId="0">
      <text>
        <r>
          <rPr>
            <b/>
            <sz val="8"/>
            <rFont val="Tahoma"/>
            <family val="2"/>
          </rPr>
          <t>Бух:</t>
        </r>
        <r>
          <rPr>
            <sz val="8"/>
            <rFont val="Tahoma"/>
            <family val="2"/>
          </rPr>
          <t xml:space="preserve">
30000 мелк.рем.кровли
31640 ремонт теплоцентра
5000 ящики(мат.3510)
3510
 ВСЕГО: 70150
Ир.Георг. Сказала уменьшить до 28000</t>
        </r>
      </text>
    </comment>
    <comment ref="R14" authorId="0">
      <text>
        <r>
          <rPr>
            <b/>
            <sz val="8"/>
            <rFont val="Tahoma"/>
            <family val="2"/>
          </rPr>
          <t>Бух:</t>
        </r>
        <r>
          <rPr>
            <sz val="8"/>
            <rFont val="Tahoma"/>
            <family val="2"/>
          </rPr>
          <t xml:space="preserve">
2060,39*4мес=8241,56
2208,26*2мес=4416,52
Всего:12658,08</t>
        </r>
      </text>
    </comment>
  </commentList>
</comments>
</file>

<file path=xl/sharedStrings.xml><?xml version="1.0" encoding="utf-8"?>
<sst xmlns="http://schemas.openxmlformats.org/spreadsheetml/2006/main" count="421" uniqueCount="214">
  <si>
    <t>Наименование ТСЖ  : Пулковский Меридиан</t>
  </si>
  <si>
    <t>ТСЖ "7-я Красноармейская д.18</t>
  </si>
  <si>
    <t>ООО "УК "Петербургский Дом"</t>
  </si>
  <si>
    <t>Адрес:  С-Петербург, Дунайский пр. д.3.к.2</t>
  </si>
  <si>
    <t>Санкт-Петербург,7-я Красноармейская д.18</t>
  </si>
  <si>
    <t xml:space="preserve">                      ТАБЛИЦА  СТАВОК  И  УСЛУГ</t>
  </si>
  <si>
    <t xml:space="preserve">                      с  01  сентября 2009 года по 31декабря 2009 года</t>
  </si>
  <si>
    <t>Общая площадь дома  ( этажей)</t>
  </si>
  <si>
    <t>м2                    2900</t>
  </si>
  <si>
    <t>Проживает  (чел)</t>
  </si>
  <si>
    <t xml:space="preserve">отапливаемая площадь </t>
  </si>
  <si>
    <t>м2</t>
  </si>
  <si>
    <t>Количество квартир</t>
  </si>
  <si>
    <t>Прописано (чел)</t>
  </si>
  <si>
    <t>Нежилые помещения</t>
  </si>
  <si>
    <t xml:space="preserve">№ </t>
  </si>
  <si>
    <t>Наименование  услуги</t>
  </si>
  <si>
    <t>Тариф</t>
  </si>
  <si>
    <t>Вид  начисления</t>
  </si>
  <si>
    <t xml:space="preserve">Начисляется </t>
  </si>
  <si>
    <t>п/п</t>
  </si>
  <si>
    <t>в руб.</t>
  </si>
  <si>
    <t>(кв.м., чел., кв-ра)</t>
  </si>
  <si>
    <t>в месяц</t>
  </si>
  <si>
    <t xml:space="preserve">поставщик </t>
  </si>
  <si>
    <t xml:space="preserve">жилые и </t>
  </si>
  <si>
    <t>жилые помещ</t>
  </si>
  <si>
    <t>услуги</t>
  </si>
  <si>
    <t>нежилые</t>
  </si>
  <si>
    <t>Содержание  общего  имущества</t>
  </si>
  <si>
    <t>многоквартирного  дома</t>
  </si>
  <si>
    <t>с общей площади</t>
  </si>
  <si>
    <t>Текущий  ремонт общего имущества</t>
  </si>
  <si>
    <t>многоквартирных домов</t>
  </si>
  <si>
    <t>Содержание  придомовой  территории</t>
  </si>
  <si>
    <t>Очистка  мусоропроводов</t>
  </si>
  <si>
    <t>Уборка  лестничных  клеток</t>
  </si>
  <si>
    <t>нет</t>
  </si>
  <si>
    <t>Вывоз  твердых бытовых отходов</t>
  </si>
  <si>
    <t>Техническое обслуживание   и  ремонт лифтов</t>
  </si>
  <si>
    <t>с общей площади*</t>
  </si>
  <si>
    <t>Содержание  и ремонт ПЗУ</t>
  </si>
  <si>
    <t>с квартиры</t>
  </si>
  <si>
    <t>Холодное  водоснабжение и канализация</t>
  </si>
  <si>
    <t>с человека</t>
  </si>
  <si>
    <t>счетчики</t>
  </si>
  <si>
    <t>м3</t>
  </si>
  <si>
    <t>горячее водоснабжение</t>
  </si>
  <si>
    <t>Отопление</t>
  </si>
  <si>
    <t>Газ</t>
  </si>
  <si>
    <t>Радио</t>
  </si>
  <si>
    <t>Телетрансляция</t>
  </si>
  <si>
    <t>За банковское обслуживание</t>
  </si>
  <si>
    <t>На содержание ТСЖ</t>
  </si>
  <si>
    <t>Управленческие расходы</t>
  </si>
  <si>
    <t>На  капитальный  ремонт  здания</t>
  </si>
  <si>
    <t>Услуги ВЦКП</t>
  </si>
  <si>
    <t>ООО "УК "Петербургский Дом"  ___________________  Васильева И.Х.</t>
  </si>
  <si>
    <t>Адрес: наб. Крюкова канала д. 11</t>
  </si>
  <si>
    <t>Общая  полезная площадь дома,  м2</t>
  </si>
  <si>
    <t>Наименование ТСЖ  : "7 Рота"</t>
  </si>
  <si>
    <t>Адрес: 7 Красноармейская ул.д.18</t>
  </si>
  <si>
    <t>СМЕТА доходов и расходов с 01.09.09г. по 28.02.2010г.</t>
  </si>
  <si>
    <t>Общая площадь дома  (этажей)</t>
  </si>
  <si>
    <t>Проживает</t>
  </si>
  <si>
    <t xml:space="preserve">Начислено </t>
  </si>
  <si>
    <t>Поставщики</t>
  </si>
  <si>
    <t>№</t>
  </si>
  <si>
    <t>Услуги</t>
  </si>
  <si>
    <t xml:space="preserve">Услуги </t>
  </si>
  <si>
    <t>Разница</t>
  </si>
  <si>
    <t xml:space="preserve">в 2009г </t>
  </si>
  <si>
    <t>в 2010г.</t>
  </si>
  <si>
    <t>услуг</t>
  </si>
  <si>
    <t>договора</t>
  </si>
  <si>
    <t>поставщиков</t>
  </si>
  <si>
    <t>поставщика</t>
  </si>
  <si>
    <t>с 01.09.09</t>
  </si>
  <si>
    <t>с 01.01.10</t>
  </si>
  <si>
    <t>по ведом.</t>
  </si>
  <si>
    <t>сентябрь</t>
  </si>
  <si>
    <t>октябрь</t>
  </si>
  <si>
    <t>ноябрь</t>
  </si>
  <si>
    <t>декабрь</t>
  </si>
  <si>
    <t>январь</t>
  </si>
  <si>
    <t>февраль</t>
  </si>
  <si>
    <t>.</t>
  </si>
  <si>
    <t>по договорам</t>
  </si>
  <si>
    <t>за период</t>
  </si>
  <si>
    <t>планово</t>
  </si>
  <si>
    <t>ВЦКП</t>
  </si>
  <si>
    <t>отчета</t>
  </si>
  <si>
    <t>УК "ПД"</t>
  </si>
  <si>
    <t>с общей пл.</t>
  </si>
  <si>
    <t>от 01.09.2009</t>
  </si>
  <si>
    <t>Содержание и ремонт сист.газосн.</t>
  </si>
  <si>
    <t>ООО"ПетербургГаз"</t>
  </si>
  <si>
    <t>№1.ВД.00744</t>
  </si>
  <si>
    <t>от 01.01.2009</t>
  </si>
  <si>
    <t>в стадии заключения</t>
  </si>
  <si>
    <t>накопленные средства</t>
  </si>
  <si>
    <t>Содержание и ремонт лифтов</t>
  </si>
  <si>
    <t>1 парадная</t>
  </si>
  <si>
    <t>ООО"ОТИС Лифт"</t>
  </si>
  <si>
    <t>№2166</t>
  </si>
  <si>
    <t>ПЗУ</t>
  </si>
  <si>
    <t>ООО"Конфидент-Сервис"</t>
  </si>
  <si>
    <t>Управление м\к домом</t>
  </si>
  <si>
    <t>ВСЕГО ао Жилищным услугам</t>
  </si>
  <si>
    <t>Холодное водоснабжение</t>
  </si>
  <si>
    <t>11.14/199.86</t>
  </si>
  <si>
    <t>13.15/235.90</t>
  </si>
  <si>
    <t>за куб./1 чел</t>
  </si>
  <si>
    <t>ГУП "Водоканал СПб"</t>
  </si>
  <si>
    <t xml:space="preserve">07-68483/10-ЖК </t>
  </si>
  <si>
    <t>Канализование холодной воды</t>
  </si>
  <si>
    <t>за куб.</t>
  </si>
  <si>
    <t>Канализование горячей воды</t>
  </si>
  <si>
    <t>Горячее водоснабжение</t>
  </si>
  <si>
    <t>47.74/217.69</t>
  </si>
  <si>
    <t>55.86/254.72</t>
  </si>
  <si>
    <t>ОАО "ТГК №1"</t>
  </si>
  <si>
    <t>№7922</t>
  </si>
  <si>
    <t>без февраля</t>
  </si>
  <si>
    <t>за 1 чел.</t>
  </si>
  <si>
    <t>ООО"Петербургрегионгаз"</t>
  </si>
  <si>
    <t>Электроснабжение МОП</t>
  </si>
  <si>
    <t>ИТОГО:</t>
  </si>
  <si>
    <t xml:space="preserve"> </t>
  </si>
  <si>
    <t>ТСЖ "7-я Рота"  ___________________  Семенова Т.А.</t>
  </si>
  <si>
    <t>Генеральный директор ООО "УК "Петербургский Дом"</t>
  </si>
  <si>
    <t>Васильева И.Х.</t>
  </si>
  <si>
    <t>Расходы на текущий ремонт</t>
  </si>
  <si>
    <t xml:space="preserve">Очистка кровили </t>
  </si>
  <si>
    <t>Ремонт стояка ЦО парад. №1</t>
  </si>
  <si>
    <t>(по ванным комнатам)</t>
  </si>
  <si>
    <t>Электроснабжение МОП не начислялось.  ЖКС №1 выставлены счета с опозданием за период с 01.09.2009 по 31.01.2010 на сумму 70375.22</t>
  </si>
  <si>
    <t>Счета включают</t>
  </si>
  <si>
    <t>эл.снабжение лифтов</t>
  </si>
  <si>
    <t>эл.снабжение теплоцентра</t>
  </si>
  <si>
    <t>освещение МОП</t>
  </si>
  <si>
    <t>столярная мастерская ЖКС №1</t>
  </si>
  <si>
    <t>подвальное помещение (сауна)</t>
  </si>
  <si>
    <t>спецподвал</t>
  </si>
  <si>
    <t>Нежилой фонд</t>
  </si>
  <si>
    <t xml:space="preserve">Общая площадь </t>
  </si>
  <si>
    <t>начислено за отчетный период</t>
  </si>
  <si>
    <t>21.64/23.80</t>
  </si>
  <si>
    <t>9746.66/10719.52</t>
  </si>
  <si>
    <t>Тарифы</t>
  </si>
  <si>
    <t>Начисления</t>
  </si>
  <si>
    <t>Поступления</t>
  </si>
  <si>
    <t>Задолженность</t>
  </si>
  <si>
    <t>Всего</t>
  </si>
  <si>
    <t>Общая</t>
  </si>
  <si>
    <t>для населения</t>
  </si>
  <si>
    <t>Жилой фонд</t>
  </si>
  <si>
    <t>поставщикам</t>
  </si>
  <si>
    <t>руб.</t>
  </si>
  <si>
    <t>руб./ м.кв.</t>
  </si>
  <si>
    <t>коп./ м.кв.</t>
  </si>
  <si>
    <t>отчета, руб.</t>
  </si>
  <si>
    <t xml:space="preserve"> Итого по всемжилищным услугам</t>
  </si>
  <si>
    <t>УК "Петербургский дом", ООО "Мехуборка"</t>
  </si>
  <si>
    <t>Содержание  общего  имущества многоквартирного дома, в т.ч.</t>
  </si>
  <si>
    <t>Текущий  ремонт общего имущества многоквартирного дома</t>
  </si>
  <si>
    <t>УК "Петербургский дом"</t>
  </si>
  <si>
    <t>Уборка и санитарная очистка земельного участка</t>
  </si>
  <si>
    <t>Сод.и текущий ремонт систем газоснабжения</t>
  </si>
  <si>
    <t xml:space="preserve">Взнос на капитальный ремонт </t>
  </si>
  <si>
    <t>Региональный оператор по кап.ремонту</t>
  </si>
  <si>
    <t>ВСЕГО по Жилищным услугам</t>
  </si>
  <si>
    <t>руб.\ед. услуги</t>
  </si>
  <si>
    <t>Холодное водоснабжение, м.куб.</t>
  </si>
  <si>
    <t xml:space="preserve"> ГУП "Водоканал Санкт-Петербурга"</t>
  </si>
  <si>
    <t>Водоотведение, м. куб</t>
  </si>
  <si>
    <t>Электроснабжение МОП, кВт\ч</t>
  </si>
  <si>
    <t xml:space="preserve"> АО "ПСК"</t>
  </si>
  <si>
    <t>Отопление руб/Гкал</t>
  </si>
  <si>
    <t>ОАО "ТГК-1"</t>
  </si>
  <si>
    <t>ВСЕГО по Коммунальным услугам</t>
  </si>
  <si>
    <t>Задолженность ООО "Жилкомсервис №1 Адмиралтейского района" за услуги теплоснабжения многоквартирногодома по адресу 7-я Красноармейская ул. 7/16, подключенного через тепловой узел дома, составляет: 1 628 502, 60 рублей.</t>
  </si>
  <si>
    <t>Справка о тарифах на  Коммунальные услуги</t>
  </si>
  <si>
    <t>N пп</t>
  </si>
  <si>
    <t>Наименование услуги (работы)</t>
  </si>
  <si>
    <t>За 1 кв. м общей площади жилого помещения, руб. в месяц</t>
  </si>
  <si>
    <t>За 1 кв. м площади комнат в общежитиях, руб. в месяц</t>
  </si>
  <si>
    <t>Жилая площадь</t>
  </si>
  <si>
    <t>Нежилая площадь</t>
  </si>
  <si>
    <t>Наименование: ТСЖ " Крюков 11"</t>
  </si>
  <si>
    <t>Задолженность нежилой фонд</t>
  </si>
  <si>
    <t>Справочно</t>
  </si>
  <si>
    <t>СМЕТА доходов и расходов за период январь - декабрь 2016 года</t>
  </si>
  <si>
    <t>2</t>
  </si>
  <si>
    <t>3</t>
  </si>
  <si>
    <t>4</t>
  </si>
  <si>
    <t>5</t>
  </si>
  <si>
    <t xml:space="preserve">Управление МКД </t>
  </si>
  <si>
    <t>Сод.и ремонт ПЗУ</t>
  </si>
  <si>
    <t>Эксплуатация общего ПУ</t>
  </si>
  <si>
    <t>наем</t>
  </si>
  <si>
    <t>3.91/2.3</t>
  </si>
  <si>
    <t>4.29/2.47</t>
  </si>
  <si>
    <t>тарифы на Жилищные услуги</t>
  </si>
  <si>
    <t xml:space="preserve">Задолжность </t>
  </si>
  <si>
    <t>За 1кв.м. общей площади жилого помещения, 2-е полугодие</t>
  </si>
  <si>
    <t>Отчет по смете доходов и расходов за  2016 год  по МКД  по адресу: ул.Крюков канал д.11</t>
  </si>
  <si>
    <t>Нераспределенные ОДН водоотведение</t>
  </si>
  <si>
    <t>Управление МКД                   в т.ч. обслуживание ВЦКП, сдача налоговой бухгалтерской отчетности ТСЖ "Крюков 11"</t>
  </si>
  <si>
    <t>ВСЕГО</t>
  </si>
  <si>
    <t>ЗАДОЛЖНОСТЬ</t>
  </si>
  <si>
    <t>1562408,15</t>
  </si>
  <si>
    <t>ООО "Компания АНБС" (2054.00*12)</t>
  </si>
  <si>
    <t>ООО "Петербург Газ" (3021.64*12)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</si>
</sst>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-* #,##0.0_р_._-;\-* #,##0.0_р_._-;_-* &quot;-&quot;??_р_._-;_-@_-"/>
    <numFmt numFmtId="177" formatCode="_-* #,##0_р_._-;\-* #,##0_р_._-;_-* &quot;-&quot;??_р_._-;_-@_-"/>
    <numFmt numFmtId="178" formatCode="#,##0.00_ ;\-#,##0.00\ "/>
    <numFmt numFmtId="179" formatCode="#,##0_ ;\-#,##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419]mmmm\ yyyy;@"/>
  </numFmts>
  <fonts count="8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i/>
      <u val="single"/>
      <sz val="8"/>
      <name val="Arial"/>
      <family val="2"/>
    </font>
    <font>
      <u val="single"/>
      <sz val="9"/>
      <name val="Arial Cyr"/>
      <family val="0"/>
    </font>
    <font>
      <sz val="10"/>
      <color indexed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4"/>
      <name val="Arial Cyr"/>
      <family val="0"/>
    </font>
    <font>
      <b/>
      <sz val="14"/>
      <name val="Arial"/>
      <family val="2"/>
    </font>
    <font>
      <b/>
      <u val="single"/>
      <sz val="20"/>
      <name val="Arial"/>
      <family val="2"/>
    </font>
    <font>
      <b/>
      <u val="single"/>
      <sz val="16"/>
      <name val="Arial Cyr"/>
      <family val="0"/>
    </font>
    <font>
      <sz val="16"/>
      <name val="Arial"/>
      <family val="2"/>
    </font>
    <font>
      <sz val="12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30" borderId="7" applyNumberFormat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9" fillId="34" borderId="0" applyNumberFormat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78" fillId="37" borderId="0" applyNumberFormat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2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2" fontId="1" fillId="0" borderId="27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1" fontId="1" fillId="0" borderId="26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7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7" fillId="0" borderId="0" xfId="0" applyNumberFormat="1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35" xfId="0" applyFont="1" applyBorder="1" applyAlignment="1">
      <alignment/>
    </xf>
    <xf numFmtId="43" fontId="10" fillId="0" borderId="36" xfId="0" applyNumberFormat="1" applyFont="1" applyBorder="1" applyAlignment="1">
      <alignment/>
    </xf>
    <xf numFmtId="43" fontId="10" fillId="0" borderId="37" xfId="0" applyNumberFormat="1" applyFont="1" applyBorder="1" applyAlignment="1">
      <alignment/>
    </xf>
    <xf numFmtId="43" fontId="11" fillId="0" borderId="37" xfId="0" applyNumberFormat="1" applyFont="1" applyBorder="1" applyAlignment="1">
      <alignment/>
    </xf>
    <xf numFmtId="43" fontId="11" fillId="0" borderId="38" xfId="0" applyNumberFormat="1" applyFont="1" applyBorder="1" applyAlignment="1">
      <alignment/>
    </xf>
    <xf numFmtId="43" fontId="11" fillId="0" borderId="39" xfId="0" applyNumberFormat="1" applyFont="1" applyBorder="1" applyAlignment="1">
      <alignment/>
    </xf>
    <xf numFmtId="43" fontId="11" fillId="0" borderId="40" xfId="0" applyNumberFormat="1" applyFont="1" applyBorder="1" applyAlignment="1">
      <alignment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 horizontal="left"/>
    </xf>
    <xf numFmtId="43" fontId="11" fillId="0" borderId="0" xfId="0" applyNumberFormat="1" applyFont="1" applyAlignment="1">
      <alignment horizontal="left"/>
    </xf>
    <xf numFmtId="43" fontId="11" fillId="0" borderId="0" xfId="0" applyNumberFormat="1" applyFont="1" applyAlignment="1">
      <alignment/>
    </xf>
    <xf numFmtId="177" fontId="10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43" fontId="10" fillId="0" borderId="43" xfId="0" applyNumberFormat="1" applyFont="1" applyBorder="1" applyAlignment="1">
      <alignment/>
    </xf>
    <xf numFmtId="43" fontId="11" fillId="0" borderId="43" xfId="0" applyNumberFormat="1" applyFont="1" applyBorder="1" applyAlignment="1">
      <alignment/>
    </xf>
    <xf numFmtId="0" fontId="10" fillId="0" borderId="44" xfId="0" applyFont="1" applyBorder="1" applyAlignment="1">
      <alignment/>
    </xf>
    <xf numFmtId="43" fontId="10" fillId="0" borderId="45" xfId="0" applyNumberFormat="1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27" xfId="0" applyFont="1" applyBorder="1" applyAlignment="1">
      <alignment/>
    </xf>
    <xf numFmtId="43" fontId="10" fillId="0" borderId="27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7" xfId="0" applyFont="1" applyBorder="1" applyAlignment="1">
      <alignment/>
    </xf>
    <xf numFmtId="43" fontId="10" fillId="0" borderId="48" xfId="0" applyNumberFormat="1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25" xfId="0" applyFont="1" applyBorder="1" applyAlignment="1">
      <alignment/>
    </xf>
    <xf numFmtId="0" fontId="10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30" xfId="0" applyFont="1" applyBorder="1" applyAlignment="1">
      <alignment/>
    </xf>
    <xf numFmtId="43" fontId="10" fillId="0" borderId="30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0" fontId="11" fillId="0" borderId="28" xfId="0" applyFont="1" applyBorder="1" applyAlignment="1">
      <alignment/>
    </xf>
    <xf numFmtId="43" fontId="10" fillId="0" borderId="52" xfId="0" applyNumberFormat="1" applyFont="1" applyBorder="1" applyAlignment="1">
      <alignment/>
    </xf>
    <xf numFmtId="0" fontId="11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1" fillId="0" borderId="23" xfId="0" applyFont="1" applyBorder="1" applyAlignment="1">
      <alignment/>
    </xf>
    <xf numFmtId="43" fontId="11" fillId="0" borderId="23" xfId="0" applyNumberFormat="1" applyFont="1" applyBorder="1" applyAlignment="1">
      <alignment/>
    </xf>
    <xf numFmtId="43" fontId="10" fillId="0" borderId="23" xfId="0" applyNumberFormat="1" applyFont="1" applyBorder="1" applyAlignment="1">
      <alignment/>
    </xf>
    <xf numFmtId="0" fontId="11" fillId="0" borderId="21" xfId="0" applyFont="1" applyBorder="1" applyAlignment="1">
      <alignment/>
    </xf>
    <xf numFmtId="43" fontId="11" fillId="0" borderId="24" xfId="0" applyNumberFormat="1" applyFont="1" applyBorder="1" applyAlignment="1">
      <alignment/>
    </xf>
    <xf numFmtId="0" fontId="10" fillId="0" borderId="55" xfId="0" applyFont="1" applyBorder="1" applyAlignment="1">
      <alignment/>
    </xf>
    <xf numFmtId="43" fontId="8" fillId="0" borderId="27" xfId="0" applyNumberFormat="1" applyFont="1" applyBorder="1" applyAlignment="1">
      <alignment/>
    </xf>
    <xf numFmtId="43" fontId="11" fillId="0" borderId="48" xfId="0" applyNumberFormat="1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9" xfId="0" applyFont="1" applyBorder="1" applyAlignment="1">
      <alignment/>
    </xf>
    <xf numFmtId="43" fontId="11" fillId="0" borderId="19" xfId="0" applyNumberFormat="1" applyFont="1" applyBorder="1" applyAlignment="1">
      <alignment/>
    </xf>
    <xf numFmtId="43" fontId="10" fillId="0" borderId="19" xfId="0" applyNumberFormat="1" applyFont="1" applyBorder="1" applyAlignment="1">
      <alignment/>
    </xf>
    <xf numFmtId="0" fontId="11" fillId="0" borderId="17" xfId="0" applyFont="1" applyBorder="1" applyAlignment="1">
      <alignment/>
    </xf>
    <xf numFmtId="43" fontId="11" fillId="0" borderId="20" xfId="0" applyNumberFormat="1" applyFont="1" applyBorder="1" applyAlignment="1">
      <alignment/>
    </xf>
    <xf numFmtId="0" fontId="11" fillId="0" borderId="40" xfId="0" applyFont="1" applyBorder="1" applyAlignment="1">
      <alignment/>
    </xf>
    <xf numFmtId="43" fontId="10" fillId="0" borderId="19" xfId="0" applyNumberFormat="1" applyFont="1" applyBorder="1" applyAlignment="1">
      <alignment/>
    </xf>
    <xf numFmtId="0" fontId="10" fillId="0" borderId="56" xfId="0" applyFont="1" applyBorder="1" applyAlignment="1">
      <alignment/>
    </xf>
    <xf numFmtId="43" fontId="11" fillId="0" borderId="57" xfId="0" applyNumberFormat="1" applyFont="1" applyBorder="1" applyAlignment="1">
      <alignment/>
    </xf>
    <xf numFmtId="0" fontId="11" fillId="0" borderId="58" xfId="0" applyFont="1" applyBorder="1" applyAlignment="1">
      <alignment/>
    </xf>
    <xf numFmtId="43" fontId="10" fillId="0" borderId="58" xfId="0" applyNumberFormat="1" applyFont="1" applyBorder="1" applyAlignment="1">
      <alignment/>
    </xf>
    <xf numFmtId="43" fontId="11" fillId="0" borderId="58" xfId="0" applyNumberFormat="1" applyFont="1" applyBorder="1" applyAlignment="1">
      <alignment/>
    </xf>
    <xf numFmtId="0" fontId="11" fillId="0" borderId="59" xfId="0" applyFont="1" applyBorder="1" applyAlignment="1">
      <alignment/>
    </xf>
    <xf numFmtId="43" fontId="10" fillId="0" borderId="60" xfId="0" applyNumberFormat="1" applyFont="1" applyBorder="1" applyAlignment="1">
      <alignment/>
    </xf>
    <xf numFmtId="0" fontId="10" fillId="0" borderId="61" xfId="0" applyFont="1" applyBorder="1" applyAlignment="1">
      <alignment/>
    </xf>
    <xf numFmtId="0" fontId="11" fillId="0" borderId="55" xfId="0" applyFont="1" applyBorder="1" applyAlignment="1">
      <alignment/>
    </xf>
    <xf numFmtId="0" fontId="10" fillId="0" borderId="56" xfId="0" applyFont="1" applyFill="1" applyBorder="1" applyAlignment="1">
      <alignment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43" fontId="11" fillId="0" borderId="60" xfId="0" applyNumberFormat="1" applyFont="1" applyBorder="1" applyAlignment="1">
      <alignment/>
    </xf>
    <xf numFmtId="0" fontId="13" fillId="0" borderId="0" xfId="0" applyFont="1" applyAlignment="1">
      <alignment/>
    </xf>
    <xf numFmtId="43" fontId="10" fillId="0" borderId="61" xfId="0" applyNumberFormat="1" applyFont="1" applyBorder="1" applyAlignment="1">
      <alignment/>
    </xf>
    <xf numFmtId="0" fontId="8" fillId="0" borderId="42" xfId="0" applyFont="1" applyBorder="1" applyAlignment="1">
      <alignment/>
    </xf>
    <xf numFmtId="43" fontId="11" fillId="0" borderId="36" xfId="0" applyNumberFormat="1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43" fontId="11" fillId="0" borderId="45" xfId="0" applyNumberFormat="1" applyFont="1" applyBorder="1" applyAlignment="1">
      <alignment/>
    </xf>
    <xf numFmtId="43" fontId="11" fillId="0" borderId="46" xfId="0" applyNumberFormat="1" applyFont="1" applyBorder="1" applyAlignment="1">
      <alignment/>
    </xf>
    <xf numFmtId="0" fontId="8" fillId="0" borderId="51" xfId="0" applyFont="1" applyBorder="1" applyAlignment="1">
      <alignment/>
    </xf>
    <xf numFmtId="43" fontId="8" fillId="0" borderId="30" xfId="0" applyNumberFormat="1" applyFont="1" applyBorder="1" applyAlignment="1">
      <alignment/>
    </xf>
    <xf numFmtId="43" fontId="11" fillId="0" borderId="52" xfId="0" applyNumberFormat="1" applyFont="1" applyBorder="1" applyAlignment="1">
      <alignment/>
    </xf>
    <xf numFmtId="14" fontId="11" fillId="0" borderId="30" xfId="0" applyNumberFormat="1" applyFont="1" applyBorder="1" applyAlignment="1">
      <alignment/>
    </xf>
    <xf numFmtId="0" fontId="14" fillId="0" borderId="0" xfId="0" applyFont="1" applyAlignment="1">
      <alignment/>
    </xf>
    <xf numFmtId="43" fontId="12" fillId="0" borderId="27" xfId="0" applyNumberFormat="1" applyFont="1" applyBorder="1" applyAlignment="1">
      <alignment/>
    </xf>
    <xf numFmtId="43" fontId="12" fillId="0" borderId="37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55" xfId="0" applyBorder="1" applyAlignment="1">
      <alignment/>
    </xf>
    <xf numFmtId="43" fontId="0" fillId="0" borderId="62" xfId="0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0" fontId="0" fillId="0" borderId="40" xfId="0" applyBorder="1" applyAlignment="1">
      <alignment/>
    </xf>
    <xf numFmtId="43" fontId="0" fillId="0" borderId="63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64" xfId="0" applyBorder="1" applyAlignment="1">
      <alignment/>
    </xf>
    <xf numFmtId="43" fontId="0" fillId="0" borderId="54" xfId="0" applyNumberFormat="1" applyFont="1" applyBorder="1" applyAlignment="1">
      <alignment/>
    </xf>
    <xf numFmtId="43" fontId="0" fillId="0" borderId="22" xfId="0" applyNumberFormat="1" applyFont="1" applyBorder="1" applyAlignment="1">
      <alignment/>
    </xf>
    <xf numFmtId="0" fontId="0" fillId="0" borderId="39" xfId="0" applyBorder="1" applyAlignment="1">
      <alignment/>
    </xf>
    <xf numFmtId="0" fontId="8" fillId="0" borderId="41" xfId="0" applyFont="1" applyBorder="1" applyAlignment="1">
      <alignment/>
    </xf>
    <xf numFmtId="0" fontId="8" fillId="0" borderId="50" xfId="0" applyFont="1" applyBorder="1" applyAlignment="1">
      <alignment/>
    </xf>
    <xf numFmtId="0" fontId="15" fillId="0" borderId="0" xfId="0" applyFont="1" applyAlignment="1">
      <alignment/>
    </xf>
    <xf numFmtId="4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3" fontId="15" fillId="0" borderId="0" xfId="0" applyNumberFormat="1" applyFont="1" applyAlignment="1">
      <alignment/>
    </xf>
    <xf numFmtId="43" fontId="18" fillId="0" borderId="0" xfId="0" applyNumberFormat="1" applyFont="1" applyAlignment="1">
      <alignment/>
    </xf>
    <xf numFmtId="43" fontId="0" fillId="0" borderId="10" xfId="0" applyNumberFormat="1" applyFont="1" applyBorder="1" applyAlignment="1">
      <alignment/>
    </xf>
    <xf numFmtId="43" fontId="0" fillId="0" borderId="12" xfId="0" applyNumberFormat="1" applyFont="1" applyBorder="1" applyAlignment="1">
      <alignment/>
    </xf>
    <xf numFmtId="0" fontId="0" fillId="0" borderId="65" xfId="0" applyBorder="1" applyAlignment="1">
      <alignment/>
    </xf>
    <xf numFmtId="43" fontId="0" fillId="0" borderId="66" xfId="0" applyNumberFormat="1" applyFont="1" applyBorder="1" applyAlignment="1">
      <alignment/>
    </xf>
    <xf numFmtId="43" fontId="0" fillId="0" borderId="67" xfId="0" applyNumberFormat="1" applyFont="1" applyBorder="1" applyAlignment="1">
      <alignment/>
    </xf>
    <xf numFmtId="43" fontId="0" fillId="0" borderId="68" xfId="0" applyNumberFormat="1" applyFont="1" applyBorder="1" applyAlignment="1">
      <alignment/>
    </xf>
    <xf numFmtId="0" fontId="0" fillId="0" borderId="69" xfId="0" applyBorder="1" applyAlignment="1">
      <alignment/>
    </xf>
    <xf numFmtId="43" fontId="0" fillId="0" borderId="70" xfId="0" applyNumberFormat="1" applyFont="1" applyBorder="1" applyAlignment="1">
      <alignment/>
    </xf>
    <xf numFmtId="0" fontId="8" fillId="0" borderId="71" xfId="0" applyFont="1" applyBorder="1" applyAlignment="1">
      <alignment/>
    </xf>
    <xf numFmtId="43" fontId="0" fillId="0" borderId="58" xfId="0" applyNumberFormat="1" applyFont="1" applyBorder="1" applyAlignment="1">
      <alignment/>
    </xf>
    <xf numFmtId="43" fontId="0" fillId="0" borderId="72" xfId="0" applyNumberFormat="1" applyFont="1" applyBorder="1" applyAlignment="1">
      <alignment/>
    </xf>
    <xf numFmtId="0" fontId="0" fillId="0" borderId="72" xfId="0" applyBorder="1" applyAlignment="1">
      <alignment/>
    </xf>
    <xf numFmtId="43" fontId="0" fillId="0" borderId="61" xfId="0" applyNumberFormat="1" applyFont="1" applyBorder="1" applyAlignment="1">
      <alignment/>
    </xf>
    <xf numFmtId="0" fontId="17" fillId="0" borderId="73" xfId="0" applyFont="1" applyBorder="1" applyAlignment="1">
      <alignment/>
    </xf>
    <xf numFmtId="43" fontId="0" fillId="0" borderId="63" xfId="0" applyNumberFormat="1" applyFont="1" applyBorder="1" applyAlignment="1">
      <alignment/>
    </xf>
    <xf numFmtId="0" fontId="16" fillId="0" borderId="63" xfId="0" applyFont="1" applyBorder="1" applyAlignment="1">
      <alignment/>
    </xf>
    <xf numFmtId="43" fontId="16" fillId="0" borderId="64" xfId="0" applyNumberFormat="1" applyFont="1" applyBorder="1" applyAlignment="1">
      <alignment/>
    </xf>
    <xf numFmtId="43" fontId="12" fillId="0" borderId="58" xfId="0" applyNumberFormat="1" applyFont="1" applyBorder="1" applyAlignment="1">
      <alignment/>
    </xf>
    <xf numFmtId="43" fontId="12" fillId="0" borderId="72" xfId="0" applyNumberFormat="1" applyFont="1" applyBorder="1" applyAlignment="1">
      <alignment/>
    </xf>
    <xf numFmtId="0" fontId="0" fillId="0" borderId="57" xfId="0" applyBorder="1" applyAlignment="1">
      <alignment/>
    </xf>
    <xf numFmtId="43" fontId="0" fillId="0" borderId="60" xfId="0" applyNumberFormat="1" applyFont="1" applyBorder="1" applyAlignment="1">
      <alignment/>
    </xf>
    <xf numFmtId="43" fontId="5" fillId="0" borderId="0" xfId="0" applyNumberFormat="1" applyFont="1" applyFill="1" applyAlignment="1">
      <alignment/>
    </xf>
    <xf numFmtId="43" fontId="11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 horizontal="left"/>
    </xf>
    <xf numFmtId="0" fontId="1" fillId="0" borderId="27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3" fontId="2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20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1" fillId="0" borderId="49" xfId="0" applyNumberFormat="1" applyFont="1" applyFill="1" applyBorder="1" applyAlignment="1">
      <alignment horizontal="center"/>
    </xf>
    <xf numFmtId="3" fontId="1" fillId="0" borderId="53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6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3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1" fillId="0" borderId="66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3" fontId="1" fillId="0" borderId="74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Fill="1" applyAlignment="1">
      <alignment/>
    </xf>
    <xf numFmtId="3" fontId="1" fillId="0" borderId="7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 wrapText="1"/>
    </xf>
    <xf numFmtId="3" fontId="2" fillId="0" borderId="46" xfId="0" applyNumberFormat="1" applyFont="1" applyFill="1" applyBorder="1" applyAlignment="1">
      <alignment horizontal="center"/>
    </xf>
    <xf numFmtId="3" fontId="2" fillId="0" borderId="6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center" vertical="center"/>
    </xf>
    <xf numFmtId="2" fontId="0" fillId="38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2" fontId="2" fillId="0" borderId="27" xfId="0" applyNumberFormat="1" applyFont="1" applyFill="1" applyBorder="1" applyAlignment="1">
      <alignment horizontal="center" vertical="center"/>
    </xf>
    <xf numFmtId="2" fontId="2" fillId="38" borderId="27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38" borderId="27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2" fontId="1" fillId="0" borderId="19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31" fillId="0" borderId="27" xfId="0" applyFont="1" applyFill="1" applyBorder="1" applyAlignment="1">
      <alignment vertical="top"/>
    </xf>
    <xf numFmtId="2" fontId="33" fillId="0" borderId="19" xfId="0" applyNumberFormat="1" applyFont="1" applyFill="1" applyBorder="1" applyAlignment="1">
      <alignment horizontal="center" vertical="top"/>
    </xf>
    <xf numFmtId="0" fontId="31" fillId="0" borderId="19" xfId="0" applyFont="1" applyFill="1" applyBorder="1" applyAlignment="1">
      <alignment vertical="top" wrapText="1"/>
    </xf>
    <xf numFmtId="0" fontId="31" fillId="0" borderId="27" xfId="0" applyFont="1" applyFill="1" applyBorder="1" applyAlignment="1">
      <alignment horizontal="left" vertical="top" wrapText="1"/>
    </xf>
    <xf numFmtId="2" fontId="33" fillId="0" borderId="27" xfId="0" applyNumberFormat="1" applyFont="1" applyFill="1" applyBorder="1" applyAlignment="1">
      <alignment horizontal="center" vertical="top"/>
    </xf>
    <xf numFmtId="2" fontId="33" fillId="0" borderId="23" xfId="0" applyNumberFormat="1" applyFont="1" applyFill="1" applyBorder="1" applyAlignment="1">
      <alignment horizontal="center" vertical="top"/>
    </xf>
    <xf numFmtId="0" fontId="31" fillId="0" borderId="23" xfId="0" applyFont="1" applyFill="1" applyBorder="1" applyAlignment="1">
      <alignment horizontal="left" vertical="top" wrapText="1"/>
    </xf>
    <xf numFmtId="2" fontId="33" fillId="0" borderId="27" xfId="0" applyNumberFormat="1" applyFont="1" applyFill="1" applyBorder="1" applyAlignment="1">
      <alignment horizontal="center" vertical="top" wrapText="1"/>
    </xf>
    <xf numFmtId="0" fontId="31" fillId="0" borderId="27" xfId="0" applyFont="1" applyFill="1" applyBorder="1" applyAlignment="1">
      <alignment vertical="top" wrapText="1"/>
    </xf>
    <xf numFmtId="0" fontId="31" fillId="0" borderId="27" xfId="0" applyFont="1" applyFill="1" applyBorder="1" applyAlignment="1">
      <alignment horizontal="left" vertical="top"/>
    </xf>
    <xf numFmtId="2" fontId="3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31" fillId="0" borderId="27" xfId="0" applyFont="1" applyFill="1" applyBorder="1" applyAlignment="1">
      <alignment horizontal="center" vertical="top" wrapText="1"/>
    </xf>
    <xf numFmtId="2" fontId="27" fillId="0" borderId="27" xfId="0" applyNumberFormat="1" applyFont="1" applyFill="1" applyBorder="1" applyAlignment="1">
      <alignment horizontal="center" vertical="center"/>
    </xf>
    <xf numFmtId="2" fontId="34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 wrapText="1"/>
    </xf>
    <xf numFmtId="2" fontId="34" fillId="0" borderId="27" xfId="0" applyNumberFormat="1" applyFont="1" applyFill="1" applyBorder="1" applyAlignment="1">
      <alignment horizontal="left" vertical="center"/>
    </xf>
    <xf numFmtId="2" fontId="36" fillId="0" borderId="27" xfId="0" applyNumberFormat="1" applyFont="1" applyFill="1" applyBorder="1" applyAlignment="1">
      <alignment horizontal="left" vertical="center" wrapText="1"/>
    </xf>
    <xf numFmtId="3" fontId="34" fillId="0" borderId="27" xfId="0" applyNumberFormat="1" applyFont="1" applyFill="1" applyBorder="1" applyAlignment="1">
      <alignment horizontal="left" vertical="center"/>
    </xf>
    <xf numFmtId="0" fontId="34" fillId="0" borderId="27" xfId="0" applyFont="1" applyFill="1" applyBorder="1" applyAlignment="1">
      <alignment horizontal="left"/>
    </xf>
    <xf numFmtId="2" fontId="34" fillId="0" borderId="27" xfId="0" applyNumberFormat="1" applyFont="1" applyFill="1" applyBorder="1" applyAlignment="1">
      <alignment horizontal="left"/>
    </xf>
    <xf numFmtId="3" fontId="34" fillId="0" borderId="27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2" fontId="35" fillId="0" borderId="19" xfId="0" applyNumberFormat="1" applyFont="1" applyFill="1" applyBorder="1" applyAlignment="1">
      <alignment horizontal="left" vertical="center"/>
    </xf>
    <xf numFmtId="2" fontId="27" fillId="0" borderId="27" xfId="0" applyNumberFormat="1" applyFont="1" applyFill="1" applyBorder="1" applyAlignment="1">
      <alignment horizontal="left" vertical="center"/>
    </xf>
    <xf numFmtId="2" fontId="27" fillId="0" borderId="19" xfId="0" applyNumberFormat="1" applyFont="1" applyFill="1" applyBorder="1" applyAlignment="1">
      <alignment horizontal="left" vertical="center"/>
    </xf>
    <xf numFmtId="3" fontId="27" fillId="0" borderId="19" xfId="0" applyNumberFormat="1" applyFont="1" applyFill="1" applyBorder="1" applyAlignment="1">
      <alignment horizontal="left" vertical="center"/>
    </xf>
    <xf numFmtId="2" fontId="35" fillId="0" borderId="27" xfId="0" applyNumberFormat="1" applyFont="1" applyFill="1" applyBorder="1" applyAlignment="1">
      <alignment horizontal="left" vertical="center"/>
    </xf>
    <xf numFmtId="2" fontId="35" fillId="0" borderId="27" xfId="0" applyNumberFormat="1" applyFont="1" applyFill="1" applyBorder="1" applyAlignment="1">
      <alignment horizontal="left" vertical="center" wrapText="1"/>
    </xf>
    <xf numFmtId="3" fontId="27" fillId="0" borderId="27" xfId="0" applyNumberFormat="1" applyFont="1" applyFill="1" applyBorder="1" applyAlignment="1">
      <alignment horizontal="left" vertical="center"/>
    </xf>
    <xf numFmtId="2" fontId="27" fillId="0" borderId="27" xfId="0" applyNumberFormat="1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 horizontal="center" vertical="center"/>
    </xf>
    <xf numFmtId="49" fontId="27" fillId="0" borderId="27" xfId="0" applyNumberFormat="1" applyFont="1" applyBorder="1" applyAlignment="1">
      <alignment horizontal="center" vertical="center" wrapText="1"/>
    </xf>
    <xf numFmtId="0" fontId="32" fillId="0" borderId="27" xfId="0" applyFont="1" applyFill="1" applyBorder="1" applyAlignment="1">
      <alignment vertical="top" wrapText="1"/>
    </xf>
    <xf numFmtId="0" fontId="27" fillId="0" borderId="27" xfId="0" applyFont="1" applyFill="1" applyBorder="1" applyAlignment="1">
      <alignment horizontal="center" vertical="center" wrapText="1"/>
    </xf>
    <xf numFmtId="2" fontId="35" fillId="0" borderId="27" xfId="0" applyNumberFormat="1" applyFont="1" applyFill="1" applyBorder="1" applyAlignment="1">
      <alignment horizontal="center" vertical="top" wrapText="1"/>
    </xf>
    <xf numFmtId="0" fontId="37" fillId="0" borderId="19" xfId="0" applyFont="1" applyFill="1" applyBorder="1" applyAlignment="1">
      <alignment horizontal="left" vertical="center"/>
    </xf>
    <xf numFmtId="0" fontId="38" fillId="0" borderId="19" xfId="0" applyFont="1" applyFill="1" applyBorder="1" applyAlignment="1">
      <alignment vertical="top" wrapText="1"/>
    </xf>
    <xf numFmtId="2" fontId="39" fillId="0" borderId="19" xfId="0" applyNumberFormat="1" applyFont="1" applyFill="1" applyBorder="1" applyAlignment="1">
      <alignment horizontal="center" vertical="top"/>
    </xf>
    <xf numFmtId="49" fontId="37" fillId="0" borderId="27" xfId="0" applyNumberFormat="1" applyFont="1" applyFill="1" applyBorder="1" applyAlignment="1">
      <alignment horizontal="left" vertical="center"/>
    </xf>
    <xf numFmtId="0" fontId="38" fillId="0" borderId="27" xfId="0" applyFont="1" applyFill="1" applyBorder="1" applyAlignment="1">
      <alignment horizontal="left" vertical="top" wrapText="1"/>
    </xf>
    <xf numFmtId="2" fontId="39" fillId="0" borderId="27" xfId="0" applyNumberFormat="1" applyFont="1" applyFill="1" applyBorder="1" applyAlignment="1">
      <alignment horizontal="center" vertical="top"/>
    </xf>
    <xf numFmtId="49" fontId="37" fillId="0" borderId="23" xfId="0" applyNumberFormat="1" applyFont="1" applyFill="1" applyBorder="1" applyAlignment="1">
      <alignment horizontal="left" vertical="center"/>
    </xf>
    <xf numFmtId="0" fontId="38" fillId="0" borderId="27" xfId="0" applyFont="1" applyFill="1" applyBorder="1" applyAlignment="1">
      <alignment horizontal="center" vertical="top" wrapText="1"/>
    </xf>
    <xf numFmtId="2" fontId="39" fillId="0" borderId="23" xfId="0" applyNumberFormat="1" applyFont="1" applyFill="1" applyBorder="1" applyAlignment="1">
      <alignment horizontal="center" vertical="top"/>
    </xf>
    <xf numFmtId="0" fontId="38" fillId="0" borderId="23" xfId="0" applyFont="1" applyFill="1" applyBorder="1" applyAlignment="1">
      <alignment horizontal="left" vertical="top" wrapText="1"/>
    </xf>
    <xf numFmtId="0" fontId="37" fillId="0" borderId="27" xfId="0" applyFont="1" applyFill="1" applyBorder="1" applyAlignment="1">
      <alignment horizontal="left" vertical="center"/>
    </xf>
    <xf numFmtId="2" fontId="39" fillId="0" borderId="27" xfId="0" applyNumberFormat="1" applyFont="1" applyFill="1" applyBorder="1" applyAlignment="1">
      <alignment horizontal="center" vertical="top" wrapText="1"/>
    </xf>
    <xf numFmtId="0" fontId="38" fillId="0" borderId="27" xfId="0" applyFont="1" applyFill="1" applyBorder="1" applyAlignment="1">
      <alignment vertical="top" wrapText="1"/>
    </xf>
    <xf numFmtId="0" fontId="37" fillId="0" borderId="27" xfId="0" applyFont="1" applyFill="1" applyBorder="1" applyAlignment="1">
      <alignment horizontal="left"/>
    </xf>
    <xf numFmtId="2" fontId="40" fillId="0" borderId="27" xfId="0" applyNumberFormat="1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vertical="top"/>
    </xf>
    <xf numFmtId="0" fontId="38" fillId="0" borderId="27" xfId="0" applyFont="1" applyFill="1" applyBorder="1" applyAlignment="1">
      <alignment horizontal="left" vertical="top"/>
    </xf>
    <xf numFmtId="2" fontId="34" fillId="0" borderId="27" xfId="0" applyNumberFormat="1" applyFont="1" applyFill="1" applyBorder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3" fontId="27" fillId="0" borderId="0" xfId="0" applyNumberFormat="1" applyFont="1" applyFill="1" applyAlignment="1">
      <alignment horizontal="center" vertical="top"/>
    </xf>
    <xf numFmtId="0" fontId="27" fillId="0" borderId="0" xfId="0" applyFont="1" applyFill="1" applyAlignment="1">
      <alignment vertical="top"/>
    </xf>
    <xf numFmtId="0" fontId="41" fillId="0" borderId="0" xfId="0" applyFont="1" applyFill="1" applyAlignment="1">
      <alignment/>
    </xf>
    <xf numFmtId="0" fontId="34" fillId="0" borderId="27" xfId="0" applyFont="1" applyFill="1" applyBorder="1" applyAlignment="1">
      <alignment horizontal="center" vertical="top"/>
    </xf>
    <xf numFmtId="3" fontId="34" fillId="0" borderId="27" xfId="0" applyNumberFormat="1" applyFont="1" applyFill="1" applyBorder="1" applyAlignment="1">
      <alignment horizontal="center" vertical="top"/>
    </xf>
    <xf numFmtId="3" fontId="34" fillId="0" borderId="46" xfId="0" applyNumberFormat="1" applyFont="1" applyFill="1" applyBorder="1" applyAlignment="1">
      <alignment horizontal="center" vertical="top"/>
    </xf>
    <xf numFmtId="3" fontId="34" fillId="0" borderId="49" xfId="0" applyNumberFormat="1" applyFont="1" applyFill="1" applyBorder="1" applyAlignment="1">
      <alignment horizontal="center" vertical="top"/>
    </xf>
    <xf numFmtId="3" fontId="27" fillId="0" borderId="49" xfId="0" applyNumberFormat="1" applyFont="1" applyFill="1" applyBorder="1" applyAlignment="1">
      <alignment horizontal="center" vertical="top"/>
    </xf>
    <xf numFmtId="3" fontId="27" fillId="0" borderId="53" xfId="0" applyNumberFormat="1" applyFont="1" applyFill="1" applyBorder="1" applyAlignment="1">
      <alignment horizontal="center" vertical="top"/>
    </xf>
    <xf numFmtId="2" fontId="35" fillId="0" borderId="19" xfId="0" applyNumberFormat="1" applyFont="1" applyFill="1" applyBorder="1" applyAlignment="1">
      <alignment horizontal="center" vertical="top"/>
    </xf>
    <xf numFmtId="3" fontId="27" fillId="0" borderId="19" xfId="0" applyNumberFormat="1" applyFont="1" applyFill="1" applyBorder="1" applyAlignment="1">
      <alignment horizontal="center" vertical="top"/>
    </xf>
    <xf numFmtId="3" fontId="27" fillId="0" borderId="66" xfId="0" applyNumberFormat="1" applyFont="1" applyFill="1" applyBorder="1" applyAlignment="1">
      <alignment horizontal="center" vertical="top"/>
    </xf>
    <xf numFmtId="0" fontId="34" fillId="0" borderId="19" xfId="0" applyFont="1" applyFill="1" applyBorder="1" applyAlignment="1">
      <alignment horizontal="center" vertical="top"/>
    </xf>
    <xf numFmtId="49" fontId="34" fillId="0" borderId="27" xfId="0" applyNumberFormat="1" applyFont="1" applyFill="1" applyBorder="1" applyAlignment="1">
      <alignment horizontal="center" vertical="top"/>
    </xf>
    <xf numFmtId="3" fontId="27" fillId="0" borderId="74" xfId="0" applyNumberFormat="1" applyFont="1" applyFill="1" applyBorder="1" applyAlignment="1">
      <alignment horizontal="center" vertical="top"/>
    </xf>
    <xf numFmtId="2" fontId="27" fillId="0" borderId="0" xfId="0" applyNumberFormat="1" applyFont="1" applyFill="1" applyAlignment="1">
      <alignment vertical="top"/>
    </xf>
    <xf numFmtId="0" fontId="41" fillId="0" borderId="0" xfId="0" applyFont="1" applyFill="1" applyBorder="1" applyAlignment="1">
      <alignment/>
    </xf>
    <xf numFmtId="49" fontId="34" fillId="0" borderId="23" xfId="0" applyNumberFormat="1" applyFont="1" applyFill="1" applyBorder="1" applyAlignment="1">
      <alignment horizontal="center" vertical="top"/>
    </xf>
    <xf numFmtId="3" fontId="27" fillId="0" borderId="70" xfId="0" applyNumberFormat="1" applyFont="1" applyFill="1" applyBorder="1" applyAlignment="1">
      <alignment horizontal="center" vertical="top"/>
    </xf>
    <xf numFmtId="3" fontId="27" fillId="0" borderId="46" xfId="0" applyNumberFormat="1" applyFont="1" applyFill="1" applyBorder="1" applyAlignment="1">
      <alignment horizontal="center" vertical="top"/>
    </xf>
    <xf numFmtId="3" fontId="34" fillId="0" borderId="61" xfId="0" applyNumberFormat="1" applyFont="1" applyFill="1" applyBorder="1" applyAlignment="1">
      <alignment horizontal="center" vertical="top"/>
    </xf>
    <xf numFmtId="0" fontId="27" fillId="0" borderId="0" xfId="0" applyNumberFormat="1" applyFont="1" applyFill="1" applyBorder="1" applyAlignment="1">
      <alignment horizontal="right" vertical="top" wrapText="1"/>
    </xf>
    <xf numFmtId="2" fontId="34" fillId="0" borderId="0" xfId="0" applyNumberFormat="1" applyFont="1" applyFill="1" applyBorder="1" applyAlignment="1">
      <alignment horizontal="left" vertical="top" wrapText="1"/>
    </xf>
    <xf numFmtId="3" fontId="34" fillId="0" borderId="0" xfId="0" applyNumberFormat="1" applyFont="1" applyFill="1" applyBorder="1" applyAlignment="1">
      <alignment horizontal="center" vertical="top"/>
    </xf>
    <xf numFmtId="3" fontId="27" fillId="0" borderId="0" xfId="0" applyNumberFormat="1" applyFont="1" applyFill="1" applyBorder="1" applyAlignment="1">
      <alignment horizontal="center" vertical="top"/>
    </xf>
    <xf numFmtId="0" fontId="41" fillId="0" borderId="0" xfId="0" applyFont="1" applyFill="1" applyAlignment="1">
      <alignment horizontal="center"/>
    </xf>
    <xf numFmtId="2" fontId="41" fillId="0" borderId="0" xfId="0" applyNumberFormat="1" applyFont="1" applyFill="1" applyAlignment="1">
      <alignment horizontal="center" vertical="center"/>
    </xf>
    <xf numFmtId="3" fontId="41" fillId="0" borderId="0" xfId="0" applyNumberFormat="1" applyFont="1" applyFill="1" applyAlignment="1">
      <alignment horizontal="center"/>
    </xf>
    <xf numFmtId="2" fontId="34" fillId="0" borderId="27" xfId="58" applyNumberFormat="1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34" fillId="39" borderId="27" xfId="0" applyFont="1" applyFill="1" applyBorder="1" applyAlignment="1">
      <alignment vertical="top"/>
    </xf>
    <xf numFmtId="2" fontId="34" fillId="39" borderId="27" xfId="0" applyNumberFormat="1" applyFont="1" applyFill="1" applyBorder="1" applyAlignment="1">
      <alignment horizontal="center" vertical="top"/>
    </xf>
    <xf numFmtId="0" fontId="27" fillId="39" borderId="27" xfId="0" applyFont="1" applyFill="1" applyBorder="1" applyAlignment="1">
      <alignment vertical="top"/>
    </xf>
    <xf numFmtId="2" fontId="35" fillId="39" borderId="19" xfId="0" applyNumberFormat="1" applyFont="1" applyFill="1" applyBorder="1" applyAlignment="1">
      <alignment horizontal="center" vertical="top"/>
    </xf>
    <xf numFmtId="0" fontId="27" fillId="39" borderId="19" xfId="0" applyFont="1" applyFill="1" applyBorder="1" applyAlignment="1">
      <alignment vertical="top" wrapText="1"/>
    </xf>
    <xf numFmtId="0" fontId="27" fillId="39" borderId="27" xfId="0" applyFont="1" applyFill="1" applyBorder="1" applyAlignment="1">
      <alignment horizontal="left" vertical="top" wrapText="1"/>
    </xf>
    <xf numFmtId="2" fontId="35" fillId="39" borderId="27" xfId="0" applyNumberFormat="1" applyFont="1" applyFill="1" applyBorder="1" applyAlignment="1">
      <alignment horizontal="center" vertical="top"/>
    </xf>
    <xf numFmtId="0" fontId="27" fillId="39" borderId="27" xfId="0" applyFont="1" applyFill="1" applyBorder="1" applyAlignment="1">
      <alignment horizontal="center" vertical="top" wrapText="1"/>
    </xf>
    <xf numFmtId="2" fontId="35" fillId="39" borderId="23" xfId="0" applyNumberFormat="1" applyFont="1" applyFill="1" applyBorder="1" applyAlignment="1">
      <alignment horizontal="center" vertical="top"/>
    </xf>
    <xf numFmtId="0" fontId="27" fillId="39" borderId="23" xfId="0" applyFont="1" applyFill="1" applyBorder="1" applyAlignment="1">
      <alignment horizontal="left" vertical="top" wrapText="1"/>
    </xf>
    <xf numFmtId="2" fontId="35" fillId="39" borderId="27" xfId="0" applyNumberFormat="1" applyFont="1" applyFill="1" applyBorder="1" applyAlignment="1">
      <alignment horizontal="center" vertical="top" wrapText="1"/>
    </xf>
    <xf numFmtId="2" fontId="27" fillId="39" borderId="19" xfId="0" applyNumberFormat="1" applyFont="1" applyFill="1" applyBorder="1" applyAlignment="1">
      <alignment vertical="top" wrapText="1"/>
    </xf>
    <xf numFmtId="0" fontId="27" fillId="39" borderId="27" xfId="0" applyFont="1" applyFill="1" applyBorder="1" applyAlignment="1">
      <alignment vertical="top" wrapText="1"/>
    </xf>
    <xf numFmtId="0" fontId="34" fillId="39" borderId="27" xfId="0" applyFont="1" applyFill="1" applyBorder="1" applyAlignment="1">
      <alignment vertical="top" wrapText="1"/>
    </xf>
    <xf numFmtId="0" fontId="27" fillId="39" borderId="27" xfId="0" applyFont="1" applyFill="1" applyBorder="1" applyAlignment="1">
      <alignment horizontal="left" vertical="top"/>
    </xf>
    <xf numFmtId="2" fontId="34" fillId="39" borderId="0" xfId="0" applyNumberFormat="1" applyFont="1" applyFill="1" applyBorder="1" applyAlignment="1">
      <alignment horizontal="left" vertical="top" wrapText="1"/>
    </xf>
    <xf numFmtId="0" fontId="41" fillId="39" borderId="0" xfId="0" applyFont="1" applyFill="1" applyBorder="1" applyAlignment="1">
      <alignment/>
    </xf>
    <xf numFmtId="2" fontId="41" fillId="39" borderId="0" xfId="0" applyNumberFormat="1" applyFont="1" applyFill="1" applyAlignment="1">
      <alignment horizontal="center" vertical="center"/>
    </xf>
    <xf numFmtId="0" fontId="41" fillId="39" borderId="0" xfId="0" applyFont="1" applyFill="1" applyAlignment="1">
      <alignment/>
    </xf>
    <xf numFmtId="2" fontId="42" fillId="0" borderId="27" xfId="0" applyNumberFormat="1" applyFont="1" applyFill="1" applyBorder="1" applyAlignment="1">
      <alignment horizontal="center" vertical="top"/>
    </xf>
    <xf numFmtId="2" fontId="34" fillId="0" borderId="18" xfId="0" applyNumberFormat="1" applyFont="1" applyFill="1" applyBorder="1" applyAlignment="1">
      <alignment horizontal="left" vertical="top" wrapText="1"/>
    </xf>
    <xf numFmtId="2" fontId="34" fillId="0" borderId="0" xfId="0" applyNumberFormat="1" applyFont="1" applyFill="1" applyBorder="1" applyAlignment="1">
      <alignment horizontal="left" vertical="top" wrapText="1"/>
    </xf>
    <xf numFmtId="0" fontId="34" fillId="0" borderId="55" xfId="0" applyFont="1" applyFill="1" applyBorder="1" applyAlignment="1">
      <alignment horizontal="center" vertical="top"/>
    </xf>
    <xf numFmtId="0" fontId="34" fillId="0" borderId="37" xfId="0" applyFont="1" applyFill="1" applyBorder="1" applyAlignment="1">
      <alignment horizontal="center" vertical="top"/>
    </xf>
    <xf numFmtId="3" fontId="35" fillId="0" borderId="19" xfId="0" applyNumberFormat="1" applyFont="1" applyFill="1" applyBorder="1" applyAlignment="1">
      <alignment horizontal="center" vertical="center"/>
    </xf>
    <xf numFmtId="3" fontId="35" fillId="0" borderId="23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left" vertical="center"/>
    </xf>
    <xf numFmtId="0" fontId="38" fillId="0" borderId="19" xfId="0" applyFont="1" applyFill="1" applyBorder="1" applyAlignment="1">
      <alignment horizontal="left" vertical="top" wrapText="1"/>
    </xf>
    <xf numFmtId="0" fontId="38" fillId="0" borderId="23" xfId="0" applyFont="1" applyFill="1" applyBorder="1" applyAlignment="1">
      <alignment horizontal="left" vertical="top" wrapText="1"/>
    </xf>
    <xf numFmtId="2" fontId="38" fillId="0" borderId="19" xfId="0" applyNumberFormat="1" applyFont="1" applyFill="1" applyBorder="1" applyAlignment="1">
      <alignment horizontal="center" vertical="top" wrapText="1"/>
    </xf>
    <xf numFmtId="2" fontId="38" fillId="0" borderId="23" xfId="0" applyNumberFormat="1" applyFont="1" applyFill="1" applyBorder="1" applyAlignment="1">
      <alignment horizontal="center" vertical="top" wrapText="1"/>
    </xf>
    <xf numFmtId="2" fontId="27" fillId="0" borderId="19" xfId="0" applyNumberFormat="1" applyFont="1" applyFill="1" applyBorder="1" applyAlignment="1">
      <alignment horizontal="left" vertical="center"/>
    </xf>
    <xf numFmtId="2" fontId="27" fillId="0" borderId="23" xfId="0" applyNumberFormat="1" applyFont="1" applyFill="1" applyBorder="1" applyAlignment="1">
      <alignment horizontal="left" vertical="center"/>
    </xf>
    <xf numFmtId="2" fontId="2" fillId="40" borderId="18" xfId="0" applyNumberFormat="1" applyFont="1" applyFill="1" applyBorder="1" applyAlignment="1">
      <alignment horizontal="left" vertical="center" wrapText="1"/>
    </xf>
    <xf numFmtId="2" fontId="2" fillId="40" borderId="0" xfId="0" applyNumberFormat="1" applyFont="1" applyFill="1" applyBorder="1" applyAlignment="1">
      <alignment horizontal="left" vertical="center" wrapText="1"/>
    </xf>
    <xf numFmtId="2" fontId="30" fillId="0" borderId="0" xfId="0" applyNumberFormat="1" applyFont="1" applyFill="1" applyBorder="1" applyAlignment="1">
      <alignment horizontal="center" vertical="center"/>
    </xf>
    <xf numFmtId="2" fontId="35" fillId="0" borderId="27" xfId="0" applyNumberFormat="1" applyFont="1" applyFill="1" applyBorder="1" applyAlignment="1">
      <alignment horizontal="left" vertical="center" wrapText="1"/>
    </xf>
    <xf numFmtId="2" fontId="27" fillId="0" borderId="27" xfId="0" applyNumberFormat="1" applyFont="1" applyFill="1" applyBorder="1" applyAlignment="1">
      <alignment horizontal="left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2" fontId="31" fillId="0" borderId="19" xfId="0" applyNumberFormat="1" applyFont="1" applyFill="1" applyBorder="1" applyAlignment="1">
      <alignment horizontal="center" vertical="top" wrapText="1"/>
    </xf>
    <xf numFmtId="2" fontId="31" fillId="0" borderId="23" xfId="0" applyNumberFormat="1" applyFont="1" applyFill="1" applyBorder="1" applyAlignment="1">
      <alignment horizontal="center" vertical="top" wrapText="1"/>
    </xf>
    <xf numFmtId="0" fontId="28" fillId="0" borderId="22" xfId="0" applyFont="1" applyBorder="1" applyAlignment="1">
      <alignment horizontal="center"/>
    </xf>
    <xf numFmtId="0" fontId="31" fillId="0" borderId="19" xfId="0" applyFont="1" applyFill="1" applyBorder="1" applyAlignment="1">
      <alignment horizontal="left" vertical="top" wrapText="1"/>
    </xf>
    <xf numFmtId="0" fontId="31" fillId="0" borderId="23" xfId="0" applyFont="1" applyFill="1" applyBorder="1" applyAlignment="1">
      <alignment horizontal="left" vertical="top" wrapText="1"/>
    </xf>
    <xf numFmtId="0" fontId="59" fillId="39" borderId="27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/>
    </xf>
    <xf numFmtId="2" fontId="39" fillId="39" borderId="19" xfId="0" applyNumberFormat="1" applyFont="1" applyFill="1" applyBorder="1" applyAlignment="1">
      <alignment horizontal="center" vertical="top"/>
    </xf>
    <xf numFmtId="2" fontId="39" fillId="39" borderId="27" xfId="0" applyNumberFormat="1" applyFont="1" applyFill="1" applyBorder="1" applyAlignment="1">
      <alignment horizontal="center" vertical="top"/>
    </xf>
    <xf numFmtId="2" fontId="39" fillId="39" borderId="27" xfId="0" applyNumberFormat="1" applyFont="1" applyFill="1" applyBorder="1" applyAlignment="1">
      <alignment horizontal="center" vertical="top" wrapText="1"/>
    </xf>
    <xf numFmtId="2" fontId="38" fillId="39" borderId="19" xfId="0" applyNumberFormat="1" applyFont="1" applyFill="1" applyBorder="1" applyAlignment="1">
      <alignment horizontal="center" vertical="center" wrapText="1"/>
    </xf>
    <xf numFmtId="2" fontId="38" fillId="0" borderId="19" xfId="0" applyNumberFormat="1" applyFont="1" applyFill="1" applyBorder="1" applyAlignment="1">
      <alignment horizontal="center" vertical="center" wrapText="1"/>
    </xf>
    <xf numFmtId="2" fontId="37" fillId="39" borderId="27" xfId="0" applyNumberFormat="1" applyFont="1" applyFill="1" applyBorder="1" applyAlignment="1">
      <alignment horizontal="center" vertical="top"/>
    </xf>
    <xf numFmtId="2" fontId="37" fillId="0" borderId="27" xfId="0" applyNumberFormat="1" applyFont="1" applyFill="1" applyBorder="1" applyAlignment="1">
      <alignment horizontal="center" vertical="top"/>
    </xf>
    <xf numFmtId="2" fontId="39" fillId="0" borderId="19" xfId="0" applyNumberFormat="1" applyFont="1" applyFill="1" applyBorder="1" applyAlignment="1">
      <alignment horizontal="center" vertical="top" wrapText="1"/>
    </xf>
    <xf numFmtId="2" fontId="61" fillId="0" borderId="19" xfId="0" applyNumberFormat="1" applyFont="1" applyFill="1" applyBorder="1" applyAlignment="1">
      <alignment horizontal="center" vertical="top"/>
    </xf>
    <xf numFmtId="2" fontId="37" fillId="0" borderId="19" xfId="0" applyNumberFormat="1" applyFont="1" applyFill="1" applyBorder="1" applyAlignment="1">
      <alignment horizontal="center" vertical="top"/>
    </xf>
    <xf numFmtId="2" fontId="40" fillId="0" borderId="19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161925</xdr:colOff>
      <xdr:row>8</xdr:row>
      <xdr:rowOff>47625</xdr:rowOff>
    </xdr:from>
    <xdr:to>
      <xdr:col>20</xdr:col>
      <xdr:colOff>9525</xdr:colOff>
      <xdr:row>17</xdr:row>
      <xdr:rowOff>123825</xdr:rowOff>
    </xdr:to>
    <xdr:sp>
      <xdr:nvSpPr>
        <xdr:cNvPr id="1" name="Comment 1"/>
        <xdr:cNvSpPr>
          <a:spLocks/>
        </xdr:cNvSpPr>
      </xdr:nvSpPr>
      <xdr:spPr>
        <a:xfrm>
          <a:off x="11715750" y="1428750"/>
          <a:ext cx="139065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Бух:</a:t>
          </a:r>
          <a:r>
            <a:rPr lang="en-US" cap="none" sz="800" b="0" i="0" u="none" baseline="0"/>
            <a:t>
2095*4мес=8380
2280*8мес=18240
Всего:26620</a:t>
          </a:r>
        </a:p>
      </xdr:txBody>
    </xdr:sp>
    <xdr:clientData/>
  </xdr:twoCellAnchor>
  <xdr:twoCellAnchor editAs="absolute">
    <xdr:from>
      <xdr:col>18</xdr:col>
      <xdr:colOff>161925</xdr:colOff>
      <xdr:row>9</xdr:row>
      <xdr:rowOff>57150</xdr:rowOff>
    </xdr:from>
    <xdr:to>
      <xdr:col>21</xdr:col>
      <xdr:colOff>133350</xdr:colOff>
      <xdr:row>22</xdr:row>
      <xdr:rowOff>0</xdr:rowOff>
    </xdr:to>
    <xdr:sp>
      <xdr:nvSpPr>
        <xdr:cNvPr id="2" name="Comment 2"/>
        <xdr:cNvSpPr>
          <a:spLocks/>
        </xdr:cNvSpPr>
      </xdr:nvSpPr>
      <xdr:spPr>
        <a:xfrm>
          <a:off x="11715750" y="1590675"/>
          <a:ext cx="2200275" cy="1924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Бух:</a:t>
          </a:r>
          <a:r>
            <a:rPr lang="en-US" cap="none" sz="800" b="0" i="0" u="none" baseline="0"/>
            <a:t>
30000 мелк.рем.кровли
31640 ремонт теплоцентра
5000 ящики(мат.3510)
3510
 ВСЕГО: 70150
Ир.Георг. Сказала уменьшить до 28000</a:t>
          </a:r>
        </a:p>
      </xdr:txBody>
    </xdr:sp>
    <xdr:clientData/>
  </xdr:twoCellAnchor>
  <xdr:twoCellAnchor editAs="absolute">
    <xdr:from>
      <xdr:col>18</xdr:col>
      <xdr:colOff>161925</xdr:colOff>
      <xdr:row>12</xdr:row>
      <xdr:rowOff>47625</xdr:rowOff>
    </xdr:from>
    <xdr:to>
      <xdr:col>19</xdr:col>
      <xdr:colOff>657225</xdr:colOff>
      <xdr:row>19</xdr:row>
      <xdr:rowOff>142875</xdr:rowOff>
    </xdr:to>
    <xdr:sp>
      <xdr:nvSpPr>
        <xdr:cNvPr id="3" name="Comment 3"/>
        <xdr:cNvSpPr>
          <a:spLocks/>
        </xdr:cNvSpPr>
      </xdr:nvSpPr>
      <xdr:spPr>
        <a:xfrm>
          <a:off x="11715750" y="2038350"/>
          <a:ext cx="135255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Бух:</a:t>
          </a:r>
          <a:r>
            <a:rPr lang="en-US" cap="none" sz="800" b="0" i="0" u="none" baseline="0"/>
            <a:t>
2060,39*4мес=8241,56
2208,26*2мес=4416,52
Всего:12658,08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8.75390625" style="0" customWidth="1"/>
    <col min="2" max="2" width="42.00390625" style="0" customWidth="1"/>
    <col min="4" max="4" width="19.375" style="0" customWidth="1"/>
    <col min="5" max="5" width="22.375" style="0" customWidth="1"/>
    <col min="6" max="6" width="20.125" style="0" customWidth="1"/>
    <col min="8" max="8" width="12.25390625" style="0" customWidth="1"/>
  </cols>
  <sheetData>
    <row r="1" spans="1:8" ht="12.75">
      <c r="A1" s="1" t="s">
        <v>0</v>
      </c>
      <c r="B1" s="1" t="s">
        <v>1</v>
      </c>
      <c r="C1" s="1"/>
      <c r="D1" s="1"/>
      <c r="E1" s="2"/>
      <c r="F1" s="1"/>
      <c r="G1" s="1"/>
      <c r="H1" s="1"/>
    </row>
    <row r="2" spans="1:8" ht="12.75">
      <c r="A2" s="1" t="s">
        <v>2</v>
      </c>
      <c r="B2" s="1"/>
      <c r="C2" s="1"/>
      <c r="D2" s="1"/>
      <c r="E2" s="2"/>
      <c r="F2" s="1"/>
      <c r="G2" s="1"/>
      <c r="H2" s="1"/>
    </row>
    <row r="3" spans="1:8" ht="12.75">
      <c r="A3" s="1" t="s">
        <v>3</v>
      </c>
      <c r="B3" s="1" t="s">
        <v>4</v>
      </c>
      <c r="C3" s="1"/>
      <c r="D3" s="1"/>
      <c r="E3" s="2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 t="s">
        <v>5</v>
      </c>
      <c r="C5" s="1"/>
      <c r="D5" s="1"/>
      <c r="E5" s="2"/>
      <c r="F5" s="1"/>
      <c r="G5" s="1"/>
      <c r="H5" s="1"/>
    </row>
    <row r="6" spans="1:8" ht="12.75">
      <c r="A6" s="1"/>
      <c r="B6" s="1" t="s">
        <v>6</v>
      </c>
      <c r="C6" s="1"/>
      <c r="D6" s="1"/>
      <c r="E6" s="2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 t="s">
        <v>7</v>
      </c>
      <c r="C8" s="3"/>
      <c r="D8" s="1" t="s">
        <v>8</v>
      </c>
      <c r="E8" s="2" t="s">
        <v>9</v>
      </c>
      <c r="F8" s="3"/>
      <c r="G8" s="3"/>
      <c r="H8" s="1"/>
    </row>
    <row r="9" spans="1:8" ht="12.75">
      <c r="A9" s="1"/>
      <c r="B9" s="1" t="s">
        <v>10</v>
      </c>
      <c r="C9" s="3"/>
      <c r="D9" s="1" t="s">
        <v>11</v>
      </c>
      <c r="E9" s="2"/>
      <c r="F9" s="3"/>
      <c r="G9" s="3"/>
      <c r="H9" s="1"/>
    </row>
    <row r="10" spans="1:8" ht="12.75">
      <c r="A10" s="1"/>
      <c r="B10" s="1" t="s">
        <v>12</v>
      </c>
      <c r="C10" s="3"/>
      <c r="D10" s="1">
        <v>32</v>
      </c>
      <c r="E10" s="2" t="s">
        <v>13</v>
      </c>
      <c r="F10" s="3">
        <v>95</v>
      </c>
      <c r="G10" s="3"/>
      <c r="H10" s="1"/>
    </row>
    <row r="11" spans="1:8" ht="12.75">
      <c r="A11" s="1"/>
      <c r="B11" s="1" t="s">
        <v>14</v>
      </c>
      <c r="C11" s="1"/>
      <c r="D11" s="1"/>
      <c r="E11" s="2"/>
      <c r="F11" s="1"/>
      <c r="G11" s="1"/>
      <c r="H11" s="1"/>
    </row>
    <row r="12" spans="1:8" ht="12.75">
      <c r="A12" s="4" t="s">
        <v>15</v>
      </c>
      <c r="B12" s="5" t="s">
        <v>16</v>
      </c>
      <c r="C12" s="6" t="s">
        <v>17</v>
      </c>
      <c r="D12" s="7" t="s">
        <v>18</v>
      </c>
      <c r="E12" s="8" t="s">
        <v>19</v>
      </c>
      <c r="F12" s="9"/>
      <c r="G12" s="9"/>
      <c r="H12" s="10"/>
    </row>
    <row r="13" spans="1:8" ht="12.75">
      <c r="A13" s="11" t="s">
        <v>20</v>
      </c>
      <c r="B13" s="12"/>
      <c r="C13" s="13" t="s">
        <v>21</v>
      </c>
      <c r="D13" s="14" t="s">
        <v>22</v>
      </c>
      <c r="E13" s="15" t="s">
        <v>23</v>
      </c>
      <c r="F13" s="14" t="s">
        <v>24</v>
      </c>
      <c r="G13" s="14"/>
      <c r="H13" s="16" t="s">
        <v>25</v>
      </c>
    </row>
    <row r="14" spans="1:8" ht="12.75">
      <c r="A14" s="11"/>
      <c r="B14" s="12"/>
      <c r="C14" s="13"/>
      <c r="D14" s="14"/>
      <c r="E14" s="15" t="s">
        <v>26</v>
      </c>
      <c r="F14" s="14" t="s">
        <v>27</v>
      </c>
      <c r="G14" s="14"/>
      <c r="H14" s="16" t="s">
        <v>28</v>
      </c>
    </row>
    <row r="15" spans="1:8" ht="12.75">
      <c r="A15" s="17">
        <v>1</v>
      </c>
      <c r="B15" s="18" t="s">
        <v>29</v>
      </c>
      <c r="C15" s="19"/>
      <c r="D15" s="20"/>
      <c r="E15" s="21"/>
      <c r="F15" s="20"/>
      <c r="G15" s="20"/>
      <c r="H15" s="22"/>
    </row>
    <row r="16" spans="1:8" ht="12.75">
      <c r="A16" s="23"/>
      <c r="B16" s="24" t="s">
        <v>30</v>
      </c>
      <c r="C16" s="25">
        <v>3.39</v>
      </c>
      <c r="D16" s="26" t="s">
        <v>31</v>
      </c>
      <c r="E16" s="27">
        <v>9831</v>
      </c>
      <c r="F16" s="26"/>
      <c r="G16" s="26"/>
      <c r="H16" s="28"/>
    </row>
    <row r="17" spans="1:8" ht="12.75">
      <c r="A17" s="11">
        <v>2</v>
      </c>
      <c r="B17" s="12" t="s">
        <v>32</v>
      </c>
      <c r="C17" s="29"/>
      <c r="D17" s="14"/>
      <c r="E17" s="30"/>
      <c r="F17" s="14"/>
      <c r="G17" s="14"/>
      <c r="H17" s="16"/>
    </row>
    <row r="18" spans="1:8" ht="12.75">
      <c r="A18" s="23"/>
      <c r="B18" s="24" t="s">
        <v>33</v>
      </c>
      <c r="C18" s="25">
        <v>4.57</v>
      </c>
      <c r="D18" s="26" t="s">
        <v>31</v>
      </c>
      <c r="E18" s="27">
        <v>13253</v>
      </c>
      <c r="F18" s="26"/>
      <c r="G18" s="26"/>
      <c r="H18" s="28"/>
    </row>
    <row r="19" spans="1:8" ht="12.75">
      <c r="A19" s="23">
        <v>3</v>
      </c>
      <c r="B19" s="24" t="s">
        <v>34</v>
      </c>
      <c r="C19" s="25">
        <v>1.29</v>
      </c>
      <c r="D19" s="26" t="s">
        <v>31</v>
      </c>
      <c r="E19" s="30">
        <v>3741</v>
      </c>
      <c r="F19" s="26"/>
      <c r="G19" s="26"/>
      <c r="H19" s="28"/>
    </row>
    <row r="20" spans="1:8" ht="12.75">
      <c r="A20" s="31">
        <v>4</v>
      </c>
      <c r="B20" s="32" t="s">
        <v>35</v>
      </c>
      <c r="C20" s="33">
        <v>0.89</v>
      </c>
      <c r="D20" s="34" t="s">
        <v>31</v>
      </c>
      <c r="E20" s="35"/>
      <c r="F20" s="34"/>
      <c r="G20" s="26"/>
      <c r="H20" s="28"/>
    </row>
    <row r="21" spans="1:8" ht="12.75">
      <c r="A21" s="31">
        <v>5</v>
      </c>
      <c r="B21" s="32" t="s">
        <v>36</v>
      </c>
      <c r="C21" s="33" t="s">
        <v>37</v>
      </c>
      <c r="D21" s="34" t="s">
        <v>31</v>
      </c>
      <c r="E21" s="35">
        <v>3683</v>
      </c>
      <c r="F21" s="34"/>
      <c r="G21" s="26"/>
      <c r="H21" s="28"/>
    </row>
    <row r="22" spans="1:8" ht="12.75">
      <c r="A22" s="31">
        <v>6</v>
      </c>
      <c r="B22" s="32" t="s">
        <v>38</v>
      </c>
      <c r="C22" s="33">
        <v>2.9</v>
      </c>
      <c r="D22" s="34" t="s">
        <v>31</v>
      </c>
      <c r="E22" s="35">
        <v>4925</v>
      </c>
      <c r="F22" s="34"/>
      <c r="G22" s="26"/>
      <c r="H22" s="28"/>
    </row>
    <row r="23" spans="1:8" ht="12.75">
      <c r="A23" s="31">
        <v>7</v>
      </c>
      <c r="B23" s="32" t="s">
        <v>39</v>
      </c>
      <c r="C23" s="33"/>
      <c r="D23" s="34" t="s">
        <v>40</v>
      </c>
      <c r="E23" s="35"/>
      <c r="F23" s="34"/>
      <c r="G23" s="26"/>
      <c r="H23" s="28"/>
    </row>
    <row r="24" spans="1:8" ht="12.75">
      <c r="A24" s="31">
        <v>9</v>
      </c>
      <c r="B24" s="32" t="s">
        <v>41</v>
      </c>
      <c r="C24" s="33">
        <v>0.46</v>
      </c>
      <c r="D24" s="34" t="s">
        <v>42</v>
      </c>
      <c r="E24" s="35">
        <v>29256</v>
      </c>
      <c r="F24" s="36"/>
      <c r="G24" s="37"/>
      <c r="H24" s="28"/>
    </row>
    <row r="25" spans="1:8" ht="12.75">
      <c r="A25" s="31">
        <v>11</v>
      </c>
      <c r="B25" s="32" t="s">
        <v>43</v>
      </c>
      <c r="C25" s="33">
        <v>199.86</v>
      </c>
      <c r="D25" s="34" t="s">
        <v>44</v>
      </c>
      <c r="E25" s="35">
        <v>15533</v>
      </c>
      <c r="F25" s="36"/>
      <c r="G25" s="37"/>
      <c r="H25" s="28"/>
    </row>
    <row r="26" spans="1:8" ht="12.75">
      <c r="A26" s="31"/>
      <c r="B26" s="32" t="s">
        <v>45</v>
      </c>
      <c r="C26" s="33">
        <v>11.14</v>
      </c>
      <c r="D26" s="34" t="s">
        <v>46</v>
      </c>
      <c r="E26" s="35"/>
      <c r="F26" s="34"/>
      <c r="G26" s="26"/>
      <c r="H26" s="28"/>
    </row>
    <row r="27" spans="1:8" ht="12.75">
      <c r="A27" s="31">
        <v>12</v>
      </c>
      <c r="B27" s="32" t="s">
        <v>47</v>
      </c>
      <c r="C27" s="33">
        <v>217.69</v>
      </c>
      <c r="D27" s="34" t="s">
        <v>44</v>
      </c>
      <c r="E27" s="35">
        <v>16673</v>
      </c>
      <c r="F27" s="34"/>
      <c r="G27" s="26"/>
      <c r="H27" s="28"/>
    </row>
    <row r="28" spans="1:8" ht="12.75">
      <c r="A28" s="31"/>
      <c r="B28" s="32" t="s">
        <v>45</v>
      </c>
      <c r="C28" s="33">
        <v>47.74</v>
      </c>
      <c r="D28" s="34" t="s">
        <v>46</v>
      </c>
      <c r="E28" s="35"/>
      <c r="F28" s="34"/>
      <c r="G28" s="26"/>
      <c r="H28" s="28"/>
    </row>
    <row r="29" spans="1:8" ht="12.75">
      <c r="A29" s="31">
        <v>13</v>
      </c>
      <c r="B29" s="32" t="s">
        <v>48</v>
      </c>
      <c r="C29" s="33">
        <v>13.29</v>
      </c>
      <c r="D29" s="34" t="s">
        <v>31</v>
      </c>
      <c r="E29" s="35">
        <v>861635.34</v>
      </c>
      <c r="F29" s="34"/>
      <c r="G29" s="26"/>
      <c r="H29" s="28"/>
    </row>
    <row r="30" spans="1:8" ht="12.75">
      <c r="A30" s="31">
        <v>14</v>
      </c>
      <c r="B30" s="32" t="s">
        <v>49</v>
      </c>
      <c r="C30" s="33">
        <v>28.08</v>
      </c>
      <c r="D30" s="34" t="s">
        <v>44</v>
      </c>
      <c r="E30" s="35">
        <v>0</v>
      </c>
      <c r="F30" s="34"/>
      <c r="G30" s="26"/>
      <c r="H30" s="28"/>
    </row>
    <row r="31" spans="1:8" ht="12.75">
      <c r="A31" s="31">
        <v>15</v>
      </c>
      <c r="B31" s="32" t="s">
        <v>50</v>
      </c>
      <c r="C31" s="33">
        <v>28</v>
      </c>
      <c r="D31" s="34" t="s">
        <v>42</v>
      </c>
      <c r="E31" s="35">
        <v>25056</v>
      </c>
      <c r="F31" s="34"/>
      <c r="G31" s="26"/>
      <c r="H31" s="28"/>
    </row>
    <row r="32" spans="1:8" ht="12.75">
      <c r="A32" s="31">
        <v>16</v>
      </c>
      <c r="B32" s="32" t="s">
        <v>51</v>
      </c>
      <c r="C32" s="33">
        <v>111</v>
      </c>
      <c r="D32" s="34" t="s">
        <v>42</v>
      </c>
      <c r="E32" s="35">
        <v>56700</v>
      </c>
      <c r="F32" s="34"/>
      <c r="G32" s="26"/>
      <c r="H32" s="28"/>
    </row>
    <row r="33" spans="1:8" ht="12.75">
      <c r="A33" s="31">
        <v>17</v>
      </c>
      <c r="B33" s="32" t="s">
        <v>52</v>
      </c>
      <c r="C33" s="48" t="s">
        <v>37</v>
      </c>
      <c r="D33" s="34" t="s">
        <v>42</v>
      </c>
      <c r="E33" s="35">
        <v>71997.07</v>
      </c>
      <c r="F33" s="34"/>
      <c r="G33" s="26"/>
      <c r="H33" s="28"/>
    </row>
    <row r="34" spans="1:8" ht="12.75">
      <c r="A34" s="31">
        <v>18</v>
      </c>
      <c r="B34" s="32" t="s">
        <v>53</v>
      </c>
      <c r="C34" s="38" t="s">
        <v>37</v>
      </c>
      <c r="D34" s="34" t="s">
        <v>31</v>
      </c>
      <c r="E34" s="35">
        <v>0</v>
      </c>
      <c r="F34" s="34"/>
      <c r="G34" s="26"/>
      <c r="H34" s="28"/>
    </row>
    <row r="35" spans="1:8" ht="12.75">
      <c r="A35" s="31">
        <v>19</v>
      </c>
      <c r="B35" s="32" t="s">
        <v>54</v>
      </c>
      <c r="C35" s="38">
        <v>0.2</v>
      </c>
      <c r="D35" s="34" t="s">
        <v>31</v>
      </c>
      <c r="E35" s="35">
        <v>6690.65</v>
      </c>
      <c r="F35" s="34"/>
      <c r="G35" s="26"/>
      <c r="H35" s="28"/>
    </row>
    <row r="36" spans="1:8" ht="12.75">
      <c r="A36" s="31">
        <v>20</v>
      </c>
      <c r="B36" s="32" t="s">
        <v>55</v>
      </c>
      <c r="C36" s="38" t="s">
        <v>37</v>
      </c>
      <c r="D36" s="34" t="s">
        <v>31</v>
      </c>
      <c r="E36" s="35">
        <v>0</v>
      </c>
      <c r="F36" s="34"/>
      <c r="G36" s="26"/>
      <c r="H36" s="28"/>
    </row>
    <row r="37" spans="1:8" ht="12.75">
      <c r="A37" s="31">
        <v>21</v>
      </c>
      <c r="B37" s="32" t="s">
        <v>56</v>
      </c>
      <c r="C37" s="38" t="s">
        <v>37</v>
      </c>
      <c r="D37" s="34" t="s">
        <v>42</v>
      </c>
      <c r="E37" s="35">
        <v>10394.36</v>
      </c>
      <c r="F37" s="34"/>
      <c r="G37" s="26"/>
      <c r="H37" s="28"/>
    </row>
    <row r="38" spans="1:8" ht="12.75">
      <c r="A38" s="39"/>
      <c r="B38" s="40"/>
      <c r="C38" s="41"/>
      <c r="D38" s="42"/>
      <c r="E38" s="43">
        <v>1129368.42</v>
      </c>
      <c r="F38" s="42"/>
      <c r="G38" s="44"/>
      <c r="H38" s="45"/>
    </row>
    <row r="39" spans="1:8" ht="12.75">
      <c r="A39" s="46">
        <v>22</v>
      </c>
      <c r="B39" s="1"/>
      <c r="C39" s="1"/>
      <c r="D39" s="12"/>
      <c r="E39" s="47"/>
      <c r="F39" s="12"/>
      <c r="G39" s="12"/>
      <c r="H39" s="1"/>
    </row>
    <row r="40" spans="1:8" ht="12.75">
      <c r="A40" s="1"/>
      <c r="B40" s="1"/>
      <c r="C40" s="1"/>
      <c r="D40" s="12"/>
      <c r="E40" s="47"/>
      <c r="F40" s="12"/>
      <c r="G40" s="12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 t="s">
        <v>57</v>
      </c>
      <c r="B43" s="1"/>
      <c r="C43" s="1"/>
      <c r="D43" s="1"/>
      <c r="E43" s="2"/>
      <c r="F43" s="1"/>
      <c r="G43" s="1"/>
      <c r="H43" s="1"/>
    </row>
  </sheetData>
  <sheetProtection/>
  <printOptions/>
  <pageMargins left="1" right="1" top="1" bottom="1" header="1" footer="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4"/>
  <sheetViews>
    <sheetView zoomScalePageLayoutView="0" workbookViewId="0" topLeftCell="A1">
      <selection activeCell="C17" sqref="C17"/>
    </sheetView>
  </sheetViews>
  <sheetFormatPr defaultColWidth="9.00390625" defaultRowHeight="12.75"/>
  <cols>
    <col min="2" max="2" width="32.75390625" style="0" customWidth="1"/>
    <col min="3" max="3" width="11.25390625" style="0" customWidth="1"/>
    <col min="4" max="4" width="11.375" style="0" customWidth="1"/>
  </cols>
  <sheetData>
    <row r="2" spans="1:21" s="199" customFormat="1" ht="18" customHeight="1">
      <c r="A2" s="217" t="s">
        <v>189</v>
      </c>
      <c r="B2" s="196"/>
      <c r="C2" s="198"/>
      <c r="D2" s="198"/>
      <c r="E2" s="215"/>
      <c r="F2" s="202"/>
      <c r="G2" s="216"/>
      <c r="H2" s="202"/>
      <c r="I2" s="215" t="s">
        <v>58</v>
      </c>
      <c r="J2" s="202"/>
      <c r="K2" s="198"/>
      <c r="L2" s="198"/>
      <c r="M2" s="196"/>
      <c r="N2" s="198"/>
      <c r="O2" s="198"/>
      <c r="P2" s="196"/>
      <c r="Q2" s="196"/>
      <c r="R2" s="196"/>
      <c r="S2" s="198"/>
      <c r="T2" s="202"/>
      <c r="U2" s="202"/>
    </row>
    <row r="3" spans="1:21" s="199" customFormat="1" ht="30" customHeight="1">
      <c r="A3" s="196"/>
      <c r="B3" s="197"/>
      <c r="C3" s="198"/>
      <c r="D3" s="198"/>
      <c r="E3" s="196"/>
      <c r="F3" s="202"/>
      <c r="G3" s="207"/>
      <c r="H3" s="202"/>
      <c r="I3" s="207"/>
      <c r="J3" s="202"/>
      <c r="K3" s="198"/>
      <c r="L3" s="198"/>
      <c r="M3" s="196"/>
      <c r="N3" s="198"/>
      <c r="O3" s="198"/>
      <c r="P3" s="196"/>
      <c r="Q3" s="196"/>
      <c r="R3" s="196"/>
      <c r="S3" s="198"/>
      <c r="T3" s="202"/>
      <c r="U3" s="202"/>
    </row>
    <row r="4" spans="1:21" s="189" customFormat="1" ht="18.75" customHeight="1">
      <c r="A4" s="188"/>
      <c r="B4" s="190"/>
      <c r="C4" s="184"/>
      <c r="D4" s="184"/>
      <c r="E4" s="188"/>
      <c r="F4" s="203"/>
      <c r="G4" s="207"/>
      <c r="H4" s="203"/>
      <c r="I4" s="207"/>
      <c r="J4" s="203"/>
      <c r="K4" s="184"/>
      <c r="L4" s="184"/>
      <c r="M4" s="188"/>
      <c r="N4" s="184"/>
      <c r="O4" s="184"/>
      <c r="P4" s="188"/>
      <c r="Q4" s="188"/>
      <c r="R4" s="188"/>
      <c r="S4" s="184"/>
      <c r="T4" s="203"/>
      <c r="U4" s="203"/>
    </row>
    <row r="5" spans="1:21" s="189" customFormat="1" ht="12.75">
      <c r="A5" s="188"/>
      <c r="B5" s="214" t="s">
        <v>59</v>
      </c>
      <c r="C5" s="243"/>
      <c r="D5" s="266">
        <v>5176.5</v>
      </c>
      <c r="E5" s="186"/>
      <c r="F5" s="203"/>
      <c r="G5" s="207"/>
      <c r="H5" s="203"/>
      <c r="I5" s="207"/>
      <c r="J5" s="203"/>
      <c r="K5" s="184"/>
      <c r="L5" s="184"/>
      <c r="M5" s="188"/>
      <c r="N5" s="184"/>
      <c r="O5" s="184"/>
      <c r="P5" s="188"/>
      <c r="Q5" s="188"/>
      <c r="R5" s="188"/>
      <c r="S5" s="184"/>
      <c r="T5" s="203"/>
      <c r="U5" s="203"/>
    </row>
    <row r="6" spans="1:21" s="192" customFormat="1" ht="18" customHeight="1">
      <c r="A6" s="191"/>
      <c r="B6" s="214" t="s">
        <v>12</v>
      </c>
      <c r="C6" s="244"/>
      <c r="D6" s="267">
        <v>49</v>
      </c>
      <c r="E6" s="191"/>
      <c r="F6" s="204"/>
      <c r="G6" s="207"/>
      <c r="H6" s="204"/>
      <c r="I6" s="207"/>
      <c r="J6" s="204"/>
      <c r="K6" s="185"/>
      <c r="L6" s="185"/>
      <c r="M6" s="191"/>
      <c r="N6" s="185"/>
      <c r="O6" s="185"/>
      <c r="P6" s="191"/>
      <c r="Q6" s="191"/>
      <c r="R6" s="191"/>
      <c r="S6" s="185"/>
      <c r="T6" s="204"/>
      <c r="U6" s="204"/>
    </row>
    <row r="7" spans="2:4" ht="12.75">
      <c r="B7" t="s">
        <v>187</v>
      </c>
      <c r="D7" s="268">
        <v>4055.39</v>
      </c>
    </row>
    <row r="8" spans="2:4" ht="12.75">
      <c r="B8" t="s">
        <v>188</v>
      </c>
      <c r="D8" s="268">
        <v>1121.11</v>
      </c>
    </row>
    <row r="15" ht="35.25" customHeight="1">
      <c r="C15" s="218" t="s">
        <v>192</v>
      </c>
    </row>
    <row r="18" ht="20.25">
      <c r="C18" s="222"/>
    </row>
    <row r="33" ht="12.75">
      <c r="B33" s="200"/>
    </row>
    <row r="34" ht="12.75">
      <c r="B34" s="201"/>
    </row>
  </sheetData>
  <sheetProtection/>
  <printOptions/>
  <pageMargins left="1" right="1" top="1" bottom="1" header="1" footer="1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125" zoomScaleNormal="125" zoomScalePageLayoutView="0" workbookViewId="0" topLeftCell="C1">
      <selection activeCell="R13" sqref="R13:S13"/>
    </sheetView>
  </sheetViews>
  <sheetFormatPr defaultColWidth="9.00390625" defaultRowHeight="12.75"/>
  <cols>
    <col min="1" max="1" width="3.25390625" style="0" customWidth="1"/>
    <col min="2" max="2" width="26.625" style="0" customWidth="1"/>
    <col min="3" max="4" width="10.625" style="49" customWidth="1"/>
    <col min="5" max="5" width="8.875" style="0" customWidth="1"/>
    <col min="6" max="6" width="11.875" style="49" customWidth="1"/>
    <col min="7" max="7" width="12.125" style="49" customWidth="1"/>
    <col min="8" max="8" width="1.00390625" style="51" customWidth="1"/>
    <col min="9" max="9" width="1.25" style="51" customWidth="1"/>
    <col min="10" max="11" width="1.00390625" style="51" customWidth="1"/>
    <col min="12" max="12" width="12.75390625" style="0" customWidth="1"/>
    <col min="13" max="13" width="1.12109375" style="49" customWidth="1"/>
    <col min="14" max="14" width="0.74609375" style="49" customWidth="1"/>
    <col min="15" max="15" width="16.875" style="0" customWidth="1"/>
    <col min="16" max="16" width="10.875" style="0" customWidth="1"/>
    <col min="17" max="17" width="9.75390625" style="49" customWidth="1"/>
    <col min="18" max="18" width="11.25390625" style="49" customWidth="1"/>
    <col min="19" max="19" width="11.25390625" style="0" customWidth="1"/>
  </cols>
  <sheetData>
    <row r="1" spans="1:19" s="54" customFormat="1" ht="18" customHeight="1">
      <c r="A1" s="52" t="s">
        <v>60</v>
      </c>
      <c r="B1" s="52"/>
      <c r="C1" s="50"/>
      <c r="D1" s="50"/>
      <c r="E1" s="52"/>
      <c r="F1" s="50" t="s">
        <v>61</v>
      </c>
      <c r="G1" s="53"/>
      <c r="H1" s="50"/>
      <c r="I1" s="50"/>
      <c r="J1" s="50"/>
      <c r="K1" s="50"/>
      <c r="L1" s="52"/>
      <c r="M1" s="50"/>
      <c r="N1" s="50"/>
      <c r="O1" s="52"/>
      <c r="P1" s="52"/>
      <c r="Q1" s="50"/>
      <c r="R1" s="50"/>
      <c r="S1" s="52"/>
    </row>
    <row r="2" spans="1:19" s="54" customFormat="1" ht="18.75" customHeight="1">
      <c r="A2" s="52"/>
      <c r="B2" s="129" t="s">
        <v>62</v>
      </c>
      <c r="C2" s="50"/>
      <c r="D2" s="50"/>
      <c r="E2" s="52"/>
      <c r="F2" s="50"/>
      <c r="G2" s="53"/>
      <c r="H2" s="50"/>
      <c r="I2" s="50"/>
      <c r="J2" s="50"/>
      <c r="K2" s="50"/>
      <c r="L2" s="52"/>
      <c r="M2" s="50"/>
      <c r="N2" s="50"/>
      <c r="O2" s="52"/>
      <c r="P2" s="52"/>
      <c r="Q2" s="50"/>
      <c r="R2" s="50"/>
      <c r="S2" s="52"/>
    </row>
    <row r="3" spans="1:19" s="54" customFormat="1" ht="12">
      <c r="A3" s="52"/>
      <c r="B3" s="52" t="s">
        <v>63</v>
      </c>
      <c r="C3" s="55">
        <v>2437.7</v>
      </c>
      <c r="D3" s="55"/>
      <c r="E3" s="52" t="s">
        <v>11</v>
      </c>
      <c r="F3" s="55" t="s">
        <v>64</v>
      </c>
      <c r="G3" s="56">
        <v>79</v>
      </c>
      <c r="H3" s="50"/>
      <c r="I3" s="50"/>
      <c r="J3" s="50"/>
      <c r="K3" s="50"/>
      <c r="L3" s="52"/>
      <c r="M3" s="50"/>
      <c r="N3" s="50"/>
      <c r="O3" s="52"/>
      <c r="P3" s="52"/>
      <c r="Q3" s="50"/>
      <c r="R3" s="50"/>
      <c r="S3" s="52"/>
    </row>
    <row r="4" spans="1:19" s="72" customFormat="1" ht="12">
      <c r="A4" s="67"/>
      <c r="B4" s="67" t="s">
        <v>12</v>
      </c>
      <c r="C4" s="68">
        <v>31</v>
      </c>
      <c r="D4" s="69"/>
      <c r="E4" s="67"/>
      <c r="F4" s="70"/>
      <c r="G4" s="71"/>
      <c r="H4" s="70"/>
      <c r="I4" s="70"/>
      <c r="J4" s="70"/>
      <c r="K4" s="70"/>
      <c r="L4" s="67"/>
      <c r="M4" s="70"/>
      <c r="N4" s="70"/>
      <c r="O4" s="67"/>
      <c r="P4" s="67"/>
      <c r="Q4" s="70"/>
      <c r="R4" s="70"/>
      <c r="S4" s="67"/>
    </row>
    <row r="5" spans="1:19" s="72" customFormat="1" ht="12">
      <c r="A5" s="73" t="s">
        <v>15</v>
      </c>
      <c r="B5" s="74" t="s">
        <v>16</v>
      </c>
      <c r="C5" s="61" t="s">
        <v>17</v>
      </c>
      <c r="D5" s="61" t="s">
        <v>17</v>
      </c>
      <c r="E5" s="75" t="s">
        <v>18</v>
      </c>
      <c r="F5" s="76" t="s">
        <v>19</v>
      </c>
      <c r="G5" s="76" t="s">
        <v>65</v>
      </c>
      <c r="H5" s="77"/>
      <c r="I5" s="77"/>
      <c r="J5" s="77"/>
      <c r="K5" s="77"/>
      <c r="L5" s="76" t="s">
        <v>65</v>
      </c>
      <c r="M5" s="77"/>
      <c r="N5" s="77"/>
      <c r="O5" s="78" t="s">
        <v>66</v>
      </c>
      <c r="P5" s="75" t="s">
        <v>67</v>
      </c>
      <c r="Q5" s="76" t="s">
        <v>68</v>
      </c>
      <c r="R5" s="79" t="s">
        <v>69</v>
      </c>
      <c r="S5" s="80" t="s">
        <v>70</v>
      </c>
    </row>
    <row r="6" spans="1:19" s="72" customFormat="1" ht="12">
      <c r="A6" s="81" t="s">
        <v>20</v>
      </c>
      <c r="B6" s="82"/>
      <c r="C6" s="62" t="s">
        <v>21</v>
      </c>
      <c r="D6" s="62" t="s">
        <v>21</v>
      </c>
      <c r="E6" s="83" t="s">
        <v>22</v>
      </c>
      <c r="F6" s="84" t="s">
        <v>23</v>
      </c>
      <c r="G6" s="84" t="s">
        <v>71</v>
      </c>
      <c r="H6" s="85"/>
      <c r="I6" s="85"/>
      <c r="J6" s="85"/>
      <c r="K6" s="85"/>
      <c r="L6" s="84" t="s">
        <v>72</v>
      </c>
      <c r="M6" s="85"/>
      <c r="N6" s="85"/>
      <c r="O6" s="86" t="s">
        <v>73</v>
      </c>
      <c r="P6" s="87" t="s">
        <v>74</v>
      </c>
      <c r="Q6" s="84" t="s">
        <v>75</v>
      </c>
      <c r="R6" s="88" t="s">
        <v>76</v>
      </c>
      <c r="S6" s="89"/>
    </row>
    <row r="7" spans="1:19" s="72" customFormat="1" ht="12">
      <c r="A7" s="81"/>
      <c r="B7" s="82"/>
      <c r="C7" s="63" t="s">
        <v>77</v>
      </c>
      <c r="D7" s="63" t="s">
        <v>78</v>
      </c>
      <c r="E7" s="83"/>
      <c r="F7" s="84" t="s">
        <v>26</v>
      </c>
      <c r="G7" s="84" t="s">
        <v>79</v>
      </c>
      <c r="H7" s="85" t="s">
        <v>80</v>
      </c>
      <c r="I7" s="85" t="s">
        <v>81</v>
      </c>
      <c r="J7" s="85" t="s">
        <v>82</v>
      </c>
      <c r="K7" s="85" t="s">
        <v>83</v>
      </c>
      <c r="L7" s="84" t="s">
        <v>79</v>
      </c>
      <c r="M7" s="85" t="s">
        <v>84</v>
      </c>
      <c r="N7" s="85" t="s">
        <v>85</v>
      </c>
      <c r="O7" s="90" t="s">
        <v>86</v>
      </c>
      <c r="P7" s="83"/>
      <c r="Q7" s="84" t="s">
        <v>87</v>
      </c>
      <c r="R7" s="88" t="s">
        <v>88</v>
      </c>
      <c r="S7" s="89"/>
    </row>
    <row r="8" spans="1:19" s="72" customFormat="1" ht="12">
      <c r="A8" s="91"/>
      <c r="B8" s="92"/>
      <c r="C8" s="64"/>
      <c r="D8" s="64"/>
      <c r="E8" s="93"/>
      <c r="F8" s="94" t="s">
        <v>89</v>
      </c>
      <c r="G8" s="94" t="s">
        <v>90</v>
      </c>
      <c r="H8" s="95"/>
      <c r="I8" s="95"/>
      <c r="J8" s="95"/>
      <c r="K8" s="95"/>
      <c r="L8" s="94" t="s">
        <v>90</v>
      </c>
      <c r="M8" s="95"/>
      <c r="N8" s="95"/>
      <c r="O8" s="96"/>
      <c r="P8" s="93"/>
      <c r="Q8" s="95" t="s">
        <v>23</v>
      </c>
      <c r="R8" s="97" t="s">
        <v>91</v>
      </c>
      <c r="S8" s="98"/>
    </row>
    <row r="9" spans="1:19" s="72" customFormat="1" ht="12">
      <c r="A9" s="99">
        <v>1</v>
      </c>
      <c r="B9" s="131" t="s">
        <v>29</v>
      </c>
      <c r="C9" s="132"/>
      <c r="D9" s="132"/>
      <c r="E9" s="133"/>
      <c r="F9" s="77"/>
      <c r="G9" s="76">
        <f>SUM(H9:K9)</f>
        <v>33055.19</v>
      </c>
      <c r="H9" s="77">
        <f>6932.13+1056.06+275.61</f>
        <v>8263.800000000001</v>
      </c>
      <c r="I9" s="77">
        <f>6757.38+1230.81+137.8+137.81</f>
        <v>8263.800000000001</v>
      </c>
      <c r="J9" s="77">
        <f>6757.38+1230.81+137.8+137.8</f>
        <v>8263.79</v>
      </c>
      <c r="K9" s="77">
        <f>1230.81+137.8+6757.38+137.81</f>
        <v>8263.8</v>
      </c>
      <c r="L9" s="76">
        <f>M9+N9</f>
        <v>16527.6</v>
      </c>
      <c r="M9" s="77">
        <f>7988.19+275.61</f>
        <v>8263.8</v>
      </c>
      <c r="N9" s="77">
        <f>7988.19+275.61</f>
        <v>8263.8</v>
      </c>
      <c r="O9" s="134" t="s">
        <v>92</v>
      </c>
      <c r="P9" s="133"/>
      <c r="Q9" s="77"/>
      <c r="R9" s="135"/>
      <c r="S9" s="136">
        <f>G9+L9-R10</f>
        <v>0</v>
      </c>
    </row>
    <row r="10" spans="1:19" s="72" customFormat="1" ht="12">
      <c r="A10" s="105"/>
      <c r="B10" s="137" t="s">
        <v>30</v>
      </c>
      <c r="C10" s="64">
        <v>3.39</v>
      </c>
      <c r="D10" s="64">
        <v>3.39</v>
      </c>
      <c r="E10" s="93" t="s">
        <v>93</v>
      </c>
      <c r="F10" s="138">
        <f>C3*C10</f>
        <v>8263.803</v>
      </c>
      <c r="G10" s="94"/>
      <c r="H10" s="95"/>
      <c r="I10" s="95"/>
      <c r="J10" s="95"/>
      <c r="K10" s="95">
        <v>0</v>
      </c>
      <c r="L10" s="94"/>
      <c r="M10" s="95"/>
      <c r="N10" s="95">
        <v>0</v>
      </c>
      <c r="O10" s="96"/>
      <c r="P10" s="93" t="s">
        <v>94</v>
      </c>
      <c r="Q10" s="95"/>
      <c r="R10" s="139">
        <v>49582.79</v>
      </c>
      <c r="S10" s="98"/>
    </row>
    <row r="11" spans="1:19" s="72" customFormat="1" ht="12">
      <c r="A11" s="105">
        <v>2</v>
      </c>
      <c r="B11" s="131" t="s">
        <v>32</v>
      </c>
      <c r="C11" s="132"/>
      <c r="D11" s="132"/>
      <c r="E11" s="133"/>
      <c r="F11" s="77"/>
      <c r="G11" s="76">
        <f>SUM(H11:K11)</f>
        <v>44561.200000000004</v>
      </c>
      <c r="H11" s="77">
        <f>9345.09+1423.67+371.54</f>
        <v>11140.300000000001</v>
      </c>
      <c r="I11" s="77">
        <f>9109.51+1659.25+185.77+185.77</f>
        <v>11140.300000000001</v>
      </c>
      <c r="J11" s="77">
        <f>9109.51+185.77+1659.25+185.77</f>
        <v>11140.300000000001</v>
      </c>
      <c r="K11" s="77">
        <f>1659.25+9109.51+185.77+185.77</f>
        <v>11140.300000000001</v>
      </c>
      <c r="L11" s="76">
        <f>SUM(M11:N11)</f>
        <v>22280.6</v>
      </c>
      <c r="M11" s="77">
        <f>10768.76+371.54</f>
        <v>11140.300000000001</v>
      </c>
      <c r="N11" s="77">
        <v>11140.3</v>
      </c>
      <c r="O11" s="134" t="s">
        <v>92</v>
      </c>
      <c r="P11" s="133"/>
      <c r="Q11" s="77"/>
      <c r="R11" s="135"/>
      <c r="S11" s="136">
        <f>G11+L11-R12</f>
        <v>18941.800000000003</v>
      </c>
    </row>
    <row r="12" spans="1:19" s="72" customFormat="1" ht="12">
      <c r="A12" s="105"/>
      <c r="B12" s="137" t="s">
        <v>33</v>
      </c>
      <c r="C12" s="64">
        <v>4.57</v>
      </c>
      <c r="D12" s="64">
        <v>4.57</v>
      </c>
      <c r="E12" s="93" t="s">
        <v>93</v>
      </c>
      <c r="F12" s="138">
        <f>C3*C12</f>
        <v>11140.289</v>
      </c>
      <c r="G12" s="94">
        <f>H12+I12+J12+K12</f>
        <v>0</v>
      </c>
      <c r="H12" s="95">
        <v>0</v>
      </c>
      <c r="I12" s="95">
        <v>0</v>
      </c>
      <c r="J12" s="95">
        <v>0</v>
      </c>
      <c r="K12" s="95">
        <v>0</v>
      </c>
      <c r="L12" s="94">
        <v>0</v>
      </c>
      <c r="M12" s="95"/>
      <c r="N12" s="95">
        <v>0</v>
      </c>
      <c r="O12" s="96"/>
      <c r="P12" s="140" t="s">
        <v>94</v>
      </c>
      <c r="Q12" s="95"/>
      <c r="R12" s="139">
        <f>C32+C33</f>
        <v>47900</v>
      </c>
      <c r="S12" s="98"/>
    </row>
    <row r="13" spans="1:19" s="72" customFormat="1" ht="12">
      <c r="A13" s="105">
        <v>3</v>
      </c>
      <c r="B13" s="57" t="s">
        <v>95</v>
      </c>
      <c r="C13" s="65">
        <v>0.33</v>
      </c>
      <c r="D13" s="65">
        <v>0.33</v>
      </c>
      <c r="E13" s="100" t="s">
        <v>93</v>
      </c>
      <c r="F13" s="101">
        <f>C3*C13</f>
        <v>804.441</v>
      </c>
      <c r="G13" s="102">
        <f aca="true" t="shared" si="0" ref="G13:G21">SUM(H13:K13)</f>
        <v>3217.7599999999998</v>
      </c>
      <c r="H13" s="101">
        <f>674.81+102.8+26.83</f>
        <v>804.4399999999999</v>
      </c>
      <c r="I13" s="101">
        <f>657.8+119.81+13.41+13.42</f>
        <v>804.4399999999998</v>
      </c>
      <c r="J13" s="101">
        <f>119.81+657.8+13.41+13.42</f>
        <v>804.4399999999998</v>
      </c>
      <c r="K13" s="101">
        <f>13.41+119.81+657.8+13.42</f>
        <v>804.4399999999999</v>
      </c>
      <c r="L13" s="102">
        <f>SUM(M13:N13)</f>
        <v>1608.88</v>
      </c>
      <c r="M13" s="101">
        <f>777.61+26.83</f>
        <v>804.44</v>
      </c>
      <c r="N13" s="101">
        <v>804.44</v>
      </c>
      <c r="O13" s="103" t="s">
        <v>96</v>
      </c>
      <c r="P13" s="100" t="s">
        <v>97</v>
      </c>
      <c r="Q13" s="101">
        <v>800</v>
      </c>
      <c r="R13" s="104">
        <v>1600</v>
      </c>
      <c r="S13" s="65">
        <f>G13+L13-R13</f>
        <v>3226.6399999999994</v>
      </c>
    </row>
    <row r="14" spans="1:19" s="72" customFormat="1" ht="12">
      <c r="A14" s="105">
        <v>4</v>
      </c>
      <c r="B14" s="58" t="s">
        <v>34</v>
      </c>
      <c r="C14" s="63">
        <v>1.29</v>
      </c>
      <c r="D14" s="63">
        <v>1.29</v>
      </c>
      <c r="E14" s="83" t="s">
        <v>93</v>
      </c>
      <c r="F14" s="106">
        <f>C3*C14</f>
        <v>3144.633</v>
      </c>
      <c r="G14" s="84">
        <f t="shared" si="0"/>
        <v>12578.52</v>
      </c>
      <c r="H14" s="85">
        <f>2637.9+401.85+104.88</f>
        <v>3144.63</v>
      </c>
      <c r="I14" s="85">
        <f>2571.4+468.35+52.44+52.44</f>
        <v>3144.63</v>
      </c>
      <c r="J14" s="85">
        <f>468.35+2571.4+52.44+52.44</f>
        <v>3144.63</v>
      </c>
      <c r="K14" s="85">
        <f>52.44+468.35+2571.4+52.44</f>
        <v>3144.63</v>
      </c>
      <c r="L14" s="84">
        <f>M14+N14</f>
        <v>6289.26</v>
      </c>
      <c r="M14" s="85">
        <f>3039.75+104.88</f>
        <v>3144.63</v>
      </c>
      <c r="N14" s="85">
        <v>3144.63</v>
      </c>
      <c r="O14" s="90" t="s">
        <v>92</v>
      </c>
      <c r="P14" s="83" t="s">
        <v>98</v>
      </c>
      <c r="Q14" s="85"/>
      <c r="R14" s="107">
        <v>18867.78</v>
      </c>
      <c r="S14" s="63">
        <f>G14+L14-R14</f>
        <v>0</v>
      </c>
    </row>
    <row r="15" spans="1:19" s="72" customFormat="1" ht="12">
      <c r="A15" s="105">
        <v>5</v>
      </c>
      <c r="B15" s="58" t="s">
        <v>36</v>
      </c>
      <c r="C15" s="63">
        <v>1.27</v>
      </c>
      <c r="D15" s="63">
        <v>1.27</v>
      </c>
      <c r="E15" s="83" t="s">
        <v>93</v>
      </c>
      <c r="F15" s="106">
        <f>(C3-92)*C15</f>
        <v>2979.0389999999998</v>
      </c>
      <c r="G15" s="84">
        <f t="shared" si="0"/>
        <v>11916.24</v>
      </c>
      <c r="H15" s="85">
        <f>2480.18+395.63+103.25</f>
        <v>2979.06</v>
      </c>
      <c r="I15" s="85">
        <f>2414.71+461.1+51.63+51.62</f>
        <v>2979.06</v>
      </c>
      <c r="J15" s="85">
        <f>461.1+2414.71+51.63+51.62</f>
        <v>2979.06</v>
      </c>
      <c r="K15" s="85">
        <f>51.63+461.1+2414.71+51.62</f>
        <v>2979.06</v>
      </c>
      <c r="L15" s="84">
        <f>M15+N15</f>
        <v>5958.12</v>
      </c>
      <c r="M15" s="85">
        <f>2875.81+103.25</f>
        <v>2979.06</v>
      </c>
      <c r="N15" s="85">
        <v>2979.06</v>
      </c>
      <c r="O15" s="90" t="s">
        <v>92</v>
      </c>
      <c r="P15" s="83" t="s">
        <v>98</v>
      </c>
      <c r="Q15" s="85"/>
      <c r="R15" s="107">
        <v>17874.36</v>
      </c>
      <c r="S15" s="63">
        <f>G15+L15-R15</f>
        <v>0</v>
      </c>
    </row>
    <row r="16" spans="1:19" s="72" customFormat="1" ht="12">
      <c r="A16" s="105">
        <v>6</v>
      </c>
      <c r="B16" s="58" t="s">
        <v>38</v>
      </c>
      <c r="C16" s="63">
        <v>2.9</v>
      </c>
      <c r="D16" s="63">
        <v>2.9</v>
      </c>
      <c r="E16" s="83" t="s">
        <v>93</v>
      </c>
      <c r="F16" s="106">
        <f>C3*C16</f>
        <v>7069.329999999999</v>
      </c>
      <c r="G16" s="84">
        <f t="shared" si="0"/>
        <v>28277.36</v>
      </c>
      <c r="H16" s="85">
        <f>5930.13+903.44+235.77</f>
        <v>7069.34</v>
      </c>
      <c r="I16" s="85">
        <f>5780.63+1052.94+117.88+117.89</f>
        <v>7069.34</v>
      </c>
      <c r="J16" s="85">
        <f>1052.94+5780.63+117.88+117.89</f>
        <v>7069.34</v>
      </c>
      <c r="K16" s="85">
        <f>1052.94+117.88+5780.63+117.89</f>
        <v>7069.340000000001</v>
      </c>
      <c r="L16" s="84">
        <f>SUM(M16:N16)</f>
        <v>14138.68</v>
      </c>
      <c r="M16" s="85">
        <f>6833.57+235.77</f>
        <v>7069.34</v>
      </c>
      <c r="N16" s="85">
        <v>7069.34</v>
      </c>
      <c r="O16" s="90" t="s">
        <v>99</v>
      </c>
      <c r="P16" s="83" t="s">
        <v>100</v>
      </c>
      <c r="Q16" s="85"/>
      <c r="R16" s="107"/>
      <c r="S16" s="63">
        <f>G16+L16</f>
        <v>42416.04</v>
      </c>
    </row>
    <row r="17" spans="1:19" s="72" customFormat="1" ht="12">
      <c r="A17" s="105">
        <v>7</v>
      </c>
      <c r="B17" s="58" t="s">
        <v>101</v>
      </c>
      <c r="C17" s="63">
        <v>1.93</v>
      </c>
      <c r="D17" s="63">
        <v>1.93</v>
      </c>
      <c r="E17" s="83" t="s">
        <v>102</v>
      </c>
      <c r="F17" s="85">
        <v>3057.52</v>
      </c>
      <c r="G17" s="84">
        <f t="shared" si="0"/>
        <v>9172.56</v>
      </c>
      <c r="H17" s="85">
        <v>0</v>
      </c>
      <c r="I17" s="85">
        <f>2354.09+509.12+97.16+97.15</f>
        <v>3057.52</v>
      </c>
      <c r="J17" s="85">
        <f>509.12+2354.09+97.16+97.15</f>
        <v>3057.52</v>
      </c>
      <c r="K17" s="85">
        <f>97.16+509.12+2354.09+97.15</f>
        <v>3057.52</v>
      </c>
      <c r="L17" s="84">
        <f>SUM(M17:N17)</f>
        <v>4938.12</v>
      </c>
      <c r="M17" s="85">
        <f>2312.15+156.91</f>
        <v>2469.06</v>
      </c>
      <c r="N17" s="85">
        <v>2469.06</v>
      </c>
      <c r="O17" s="90" t="s">
        <v>103</v>
      </c>
      <c r="P17" s="83" t="s">
        <v>104</v>
      </c>
      <c r="Q17" s="85">
        <v>2267.24</v>
      </c>
      <c r="R17" s="107">
        <f>Q17*5</f>
        <v>11336.199999999999</v>
      </c>
      <c r="S17" s="63">
        <f>G17+L17-R17</f>
        <v>2774.4800000000014</v>
      </c>
    </row>
    <row r="18" spans="1:19" s="72" customFormat="1" ht="12">
      <c r="A18" s="105">
        <v>8</v>
      </c>
      <c r="B18" s="58" t="s">
        <v>105</v>
      </c>
      <c r="C18" s="63">
        <v>0.46</v>
      </c>
      <c r="D18" s="63">
        <v>0.46</v>
      </c>
      <c r="E18" s="83" t="s">
        <v>93</v>
      </c>
      <c r="F18" s="85">
        <f>(C3-92)*C18</f>
        <v>1079.022</v>
      </c>
      <c r="G18" s="84">
        <f t="shared" si="0"/>
        <v>2885.12</v>
      </c>
      <c r="H18" s="85">
        <f>749.67+113.52+37.4</f>
        <v>900.5899999999999</v>
      </c>
      <c r="I18" s="85">
        <f>725.96+137.23+18.7+18.7</f>
        <v>900.5900000000001</v>
      </c>
      <c r="J18" s="85">
        <f>-37.4</f>
        <v>-37.4</v>
      </c>
      <c r="K18" s="85">
        <f>18.7+167.04+916.9+18.7</f>
        <v>1121.34</v>
      </c>
      <c r="L18" s="84">
        <f>M18+N18</f>
        <v>2242.6800000000003</v>
      </c>
      <c r="M18" s="85">
        <f>1083.94+37.4</f>
        <v>1121.3400000000001</v>
      </c>
      <c r="N18" s="85">
        <v>1121.34</v>
      </c>
      <c r="O18" s="90" t="s">
        <v>106</v>
      </c>
      <c r="P18" s="83" t="s">
        <v>94</v>
      </c>
      <c r="Q18" s="85"/>
      <c r="R18" s="107">
        <v>5127.8</v>
      </c>
      <c r="S18" s="63">
        <f>G18+L18-R18</f>
        <v>0</v>
      </c>
    </row>
    <row r="19" spans="1:19" s="72" customFormat="1" ht="12">
      <c r="A19" s="105">
        <v>9</v>
      </c>
      <c r="B19" s="59" t="s">
        <v>107</v>
      </c>
      <c r="C19" s="66">
        <v>0.2</v>
      </c>
      <c r="D19" s="66">
        <v>0.2</v>
      </c>
      <c r="E19" s="109" t="s">
        <v>93</v>
      </c>
      <c r="F19" s="110">
        <f>C3*C19</f>
        <v>487.53999999999996</v>
      </c>
      <c r="G19" s="84">
        <f t="shared" si="0"/>
        <v>1950.16</v>
      </c>
      <c r="H19" s="110">
        <f>408.97+62.31+16.26</f>
        <v>487.54</v>
      </c>
      <c r="I19" s="110">
        <f>398.66+72.62+8.12+8.14</f>
        <v>487.54</v>
      </c>
      <c r="J19" s="110">
        <f>72.62+8.12+398.66+8.14</f>
        <v>487.54</v>
      </c>
      <c r="K19" s="110">
        <f>72.62+8.12+398.66+8.14</f>
        <v>487.54</v>
      </c>
      <c r="L19" s="111">
        <f>M19+N19</f>
        <v>975.0799999999999</v>
      </c>
      <c r="M19" s="110">
        <f>471.28+16.26</f>
        <v>487.53999999999996</v>
      </c>
      <c r="N19" s="110">
        <v>487.54</v>
      </c>
      <c r="O19" s="112" t="s">
        <v>92</v>
      </c>
      <c r="P19" s="109" t="s">
        <v>94</v>
      </c>
      <c r="Q19" s="110">
        <v>487.54</v>
      </c>
      <c r="R19" s="113">
        <v>2925.24</v>
      </c>
      <c r="S19" s="66">
        <f>G19+L19-R19</f>
        <v>0</v>
      </c>
    </row>
    <row r="20" spans="1:19" s="72" customFormat="1" ht="12">
      <c r="A20" s="105"/>
      <c r="B20" s="60" t="s">
        <v>108</v>
      </c>
      <c r="C20" s="66"/>
      <c r="D20" s="66"/>
      <c r="E20" s="109"/>
      <c r="F20" s="115">
        <f>F10+F12+F13+F14+F15+F16+F17+F18+F19</f>
        <v>38025.61699999999</v>
      </c>
      <c r="G20" s="115">
        <f t="shared" si="0"/>
        <v>147614.11000000002</v>
      </c>
      <c r="H20" s="115">
        <f>H9+H11+H13+H14+H15+H16+H17+H18+H19</f>
        <v>34789.700000000004</v>
      </c>
      <c r="I20" s="115">
        <f>I9+I11+I13+I14+I15+I16+I17+I18+I19</f>
        <v>37847.22000000001</v>
      </c>
      <c r="J20" s="115">
        <f>J9+J11+J13+J14+J15+J16+J17+J18+J19</f>
        <v>36909.22</v>
      </c>
      <c r="K20" s="115">
        <f>K9+K11+K13+K14+K15+K16+K17+K18+K19</f>
        <v>38067.969999999994</v>
      </c>
      <c r="L20" s="111">
        <f>M20+N20</f>
        <v>74959.01999999999</v>
      </c>
      <c r="M20" s="115">
        <f>M9+M11+M13+M14+M15+M16+M17+M18+M19</f>
        <v>37479.51</v>
      </c>
      <c r="N20" s="115">
        <f>N9+N11+N13+N14+N15+N16+N17+N18+N19</f>
        <v>37479.509999999995</v>
      </c>
      <c r="O20" s="112"/>
      <c r="P20" s="109"/>
      <c r="Q20" s="110"/>
      <c r="R20" s="113"/>
      <c r="S20" s="114"/>
    </row>
    <row r="21" spans="1:19" s="72" customFormat="1" ht="12">
      <c r="A21" s="105">
        <v>10</v>
      </c>
      <c r="B21" s="58" t="s">
        <v>109</v>
      </c>
      <c r="C21" s="63" t="s">
        <v>110</v>
      </c>
      <c r="D21" s="63" t="s">
        <v>111</v>
      </c>
      <c r="E21" s="83" t="s">
        <v>112</v>
      </c>
      <c r="F21" s="85">
        <v>0</v>
      </c>
      <c r="G21" s="84">
        <f t="shared" si="0"/>
        <v>57433.09</v>
      </c>
      <c r="H21" s="85">
        <f>11279.03+1834.58+1199.16</f>
        <v>14312.77</v>
      </c>
      <c r="I21" s="85">
        <f>12414.91+1133.04+372.64+372.64+254+74.54+74.54+50.8</f>
        <v>14747.11</v>
      </c>
      <c r="J21" s="85">
        <f>774.47+11169.56+372.64+372.64+254+74.54+74.54+50.8</f>
        <v>13143.189999999999</v>
      </c>
      <c r="K21" s="85">
        <f>2082.29+372.64+372.64+254+11948.57+74.54+74.54+50.8</f>
        <v>15230.02</v>
      </c>
      <c r="L21" s="84">
        <f>M21+N21</f>
        <v>32797.43</v>
      </c>
      <c r="M21" s="85">
        <f>14552.53+527.82+527.82+359.76</f>
        <v>15967.93</v>
      </c>
      <c r="N21" s="85">
        <f>15414.1+527.82+527.82+359.76</f>
        <v>16829.5</v>
      </c>
      <c r="O21" s="90" t="s">
        <v>113</v>
      </c>
      <c r="P21" s="83" t="s">
        <v>114</v>
      </c>
      <c r="Q21" s="85"/>
      <c r="R21" s="107">
        <f>37804.06+7330.83+10841.68+30444.86</f>
        <v>86421.43</v>
      </c>
      <c r="S21" s="63">
        <f>G21+L21-R21</f>
        <v>3809.0899999999965</v>
      </c>
    </row>
    <row r="22" spans="1:19" s="72" customFormat="1" ht="12">
      <c r="A22" s="105"/>
      <c r="B22" s="58" t="s">
        <v>115</v>
      </c>
      <c r="C22" s="63">
        <v>11.14</v>
      </c>
      <c r="D22" s="63">
        <v>13.15</v>
      </c>
      <c r="E22" s="83" t="s">
        <v>116</v>
      </c>
      <c r="F22" s="106">
        <v>0</v>
      </c>
      <c r="G22" s="84"/>
      <c r="H22" s="85"/>
      <c r="I22" s="85">
        <v>0</v>
      </c>
      <c r="J22" s="85">
        <v>0</v>
      </c>
      <c r="K22" s="85">
        <v>0</v>
      </c>
      <c r="L22" s="84"/>
      <c r="M22" s="85">
        <v>0</v>
      </c>
      <c r="N22" s="85">
        <v>0</v>
      </c>
      <c r="O22" s="90" t="s">
        <v>113</v>
      </c>
      <c r="P22" s="83"/>
      <c r="Q22" s="85"/>
      <c r="R22" s="107"/>
      <c r="S22" s="108"/>
    </row>
    <row r="23" spans="1:19" s="72" customFormat="1" ht="12">
      <c r="A23" s="105"/>
      <c r="B23" s="58" t="s">
        <v>117</v>
      </c>
      <c r="C23" s="63">
        <v>11.14</v>
      </c>
      <c r="D23" s="63">
        <v>13.15</v>
      </c>
      <c r="E23" s="83" t="s">
        <v>116</v>
      </c>
      <c r="F23" s="106">
        <v>0</v>
      </c>
      <c r="G23" s="84"/>
      <c r="H23" s="85"/>
      <c r="I23" s="85">
        <v>0</v>
      </c>
      <c r="J23" s="85">
        <v>0</v>
      </c>
      <c r="K23" s="85">
        <v>0</v>
      </c>
      <c r="L23" s="84"/>
      <c r="M23" s="85">
        <v>0</v>
      </c>
      <c r="N23" s="85">
        <v>0</v>
      </c>
      <c r="O23" s="90" t="s">
        <v>113</v>
      </c>
      <c r="P23" s="83"/>
      <c r="Q23" s="85"/>
      <c r="R23" s="107"/>
      <c r="S23" s="108"/>
    </row>
    <row r="24" spans="1:19" s="72" customFormat="1" ht="11.25">
      <c r="A24" s="105">
        <v>11</v>
      </c>
      <c r="B24" s="58" t="s">
        <v>118</v>
      </c>
      <c r="C24" s="63" t="s">
        <v>119</v>
      </c>
      <c r="D24" s="63" t="s">
        <v>120</v>
      </c>
      <c r="E24" s="83" t="s">
        <v>112</v>
      </c>
      <c r="F24" s="106">
        <v>0</v>
      </c>
      <c r="G24" s="84">
        <f>SUM(H24:K24)</f>
        <v>57673.83</v>
      </c>
      <c r="H24" s="85">
        <f>11946.17+2007.02+1306.14</f>
        <v>15259.33</v>
      </c>
      <c r="I24" s="85">
        <f>10953.49+1136.22+1044.6+217.7</f>
        <v>13352.01</v>
      </c>
      <c r="J24" s="85">
        <f>730.32+11850.45+1010.9+222.94</f>
        <v>13814.61</v>
      </c>
      <c r="K24" s="85">
        <f>2248.58+1088.44+11693.16+217.7</f>
        <v>15247.880000000001</v>
      </c>
      <c r="L24" s="84">
        <f>M24+N24</f>
        <v>35266</v>
      </c>
      <c r="M24" s="85">
        <f>15715.11+1528.32</f>
        <v>17243.43</v>
      </c>
      <c r="N24" s="85">
        <f>16494.25+1528.32</f>
        <v>18022.57</v>
      </c>
      <c r="O24" s="90" t="s">
        <v>121</v>
      </c>
      <c r="P24" s="83" t="s">
        <v>122</v>
      </c>
      <c r="Q24" s="85" t="s">
        <v>123</v>
      </c>
      <c r="R24" s="107">
        <v>240950.71</v>
      </c>
      <c r="S24" s="63">
        <f>G24+G25+L24+L25-R24</f>
        <v>59450.840000000055</v>
      </c>
    </row>
    <row r="25" spans="1:19" s="72" customFormat="1" ht="11.25">
      <c r="A25" s="105">
        <v>12</v>
      </c>
      <c r="B25" s="58" t="s">
        <v>48</v>
      </c>
      <c r="C25" s="63">
        <v>13.29</v>
      </c>
      <c r="D25" s="63">
        <v>16.85</v>
      </c>
      <c r="E25" s="83" t="s">
        <v>93</v>
      </c>
      <c r="F25" s="106">
        <f>D25*C3</f>
        <v>41075.245</v>
      </c>
      <c r="G25" s="84">
        <f>SUM(H25:K25)</f>
        <v>125311.08</v>
      </c>
      <c r="H25" s="85">
        <f>27519.24+3671.01+1080.48</f>
        <v>32270.73</v>
      </c>
      <c r="I25" s="85">
        <f>24907.26+4356.11+795.96+222.94</f>
        <v>30282.269999999997</v>
      </c>
      <c r="J25" s="85">
        <f>4356.11+25157.89+750.41+222.94</f>
        <v>30487.35</v>
      </c>
      <c r="K25" s="85">
        <f>4356.11+857.54+26834.14+222.94</f>
        <v>32270.73</v>
      </c>
      <c r="L25" s="84">
        <f>M25+N25</f>
        <v>82150.64000000001</v>
      </c>
      <c r="M25" s="85">
        <f>39705.41+1369.91</f>
        <v>41075.32000000001</v>
      </c>
      <c r="N25" s="85">
        <f>39705.41+1369.91</f>
        <v>41075.32000000001</v>
      </c>
      <c r="O25" s="90" t="s">
        <v>121</v>
      </c>
      <c r="P25" s="83" t="s">
        <v>122</v>
      </c>
      <c r="Q25" s="85"/>
      <c r="R25" s="107"/>
      <c r="S25" s="108"/>
    </row>
    <row r="26" spans="1:19" s="72" customFormat="1" ht="11.25">
      <c r="A26" s="105">
        <v>13</v>
      </c>
      <c r="B26" s="58" t="s">
        <v>49</v>
      </c>
      <c r="C26" s="63">
        <v>28.08</v>
      </c>
      <c r="D26" s="63">
        <v>31.14</v>
      </c>
      <c r="E26" s="83" t="s">
        <v>124</v>
      </c>
      <c r="F26" s="85">
        <v>2416.06</v>
      </c>
      <c r="G26" s="84">
        <f>SUM(H26:K26)</f>
        <v>8357.23</v>
      </c>
      <c r="H26" s="85">
        <f>1668.34+269.18+28.08</f>
        <v>1965.6</v>
      </c>
      <c r="I26" s="85">
        <f>1755+189.64+140.4+28.08</f>
        <v>2113.12</v>
      </c>
      <c r="J26" s="85">
        <f>136.71+1755+140.4+28.08</f>
        <v>2060.19</v>
      </c>
      <c r="K26" s="85">
        <f>294.84+140.4+1755+28.08</f>
        <v>2218.3199999999997</v>
      </c>
      <c r="L26" s="84">
        <f>M26+N26</f>
        <v>4920.12</v>
      </c>
      <c r="M26" s="85">
        <f>2273.22+186.84</f>
        <v>2460.06</v>
      </c>
      <c r="N26" s="85">
        <f>2273.22+186.84</f>
        <v>2460.06</v>
      </c>
      <c r="O26" s="90" t="s">
        <v>125</v>
      </c>
      <c r="P26" s="83"/>
      <c r="Q26" s="85"/>
      <c r="R26" s="107">
        <v>6344.59</v>
      </c>
      <c r="S26" s="63">
        <f>G26+L26-R26</f>
        <v>6932.759999999998</v>
      </c>
    </row>
    <row r="27" spans="1:19" s="72" customFormat="1" ht="11.25">
      <c r="A27" s="105">
        <v>14</v>
      </c>
      <c r="B27" s="58" t="s">
        <v>126</v>
      </c>
      <c r="C27" s="63">
        <v>0</v>
      </c>
      <c r="D27" s="63">
        <v>0</v>
      </c>
      <c r="E27" s="83" t="s">
        <v>93</v>
      </c>
      <c r="F27" s="85">
        <v>0</v>
      </c>
      <c r="G27" s="84"/>
      <c r="H27" s="85">
        <v>0</v>
      </c>
      <c r="I27" s="85">
        <v>0</v>
      </c>
      <c r="J27" s="85">
        <v>0</v>
      </c>
      <c r="K27" s="85">
        <v>0</v>
      </c>
      <c r="L27" s="84"/>
      <c r="M27" s="85">
        <v>0</v>
      </c>
      <c r="N27" s="85">
        <v>0</v>
      </c>
      <c r="O27" s="90"/>
      <c r="P27" s="83"/>
      <c r="Q27" s="85"/>
      <c r="R27" s="107"/>
      <c r="S27" s="63">
        <f>G27+L27-R27</f>
        <v>0</v>
      </c>
    </row>
    <row r="28" spans="1:19" s="72" customFormat="1" ht="11.25">
      <c r="A28" s="105"/>
      <c r="B28" s="116" t="s">
        <v>127</v>
      </c>
      <c r="C28" s="117"/>
      <c r="D28" s="117" t="s">
        <v>128</v>
      </c>
      <c r="E28" s="118"/>
      <c r="F28" s="119"/>
      <c r="G28" s="119">
        <f>G20+G21+G24+G25+G26+G27</f>
        <v>396389.34</v>
      </c>
      <c r="H28" s="120">
        <f>H20+H21+H24+H25+H26</f>
        <v>98598.13</v>
      </c>
      <c r="I28" s="120">
        <f>I20+I21+I24+I25+I26</f>
        <v>98341.73000000001</v>
      </c>
      <c r="J28" s="120">
        <f>J20+J21+J24+J25+J26</f>
        <v>96414.56</v>
      </c>
      <c r="K28" s="120">
        <f>K20+K21+K24+K25+K26</f>
        <v>103034.91999999998</v>
      </c>
      <c r="L28" s="119">
        <f>L20+L21+L24+L25+L26</f>
        <v>230093.21</v>
      </c>
      <c r="M28" s="120">
        <f>SUM(M21:M27)+M20</f>
        <v>114226.25</v>
      </c>
      <c r="N28" s="120">
        <f>SUM(N21:N27)+N20</f>
        <v>115866.96</v>
      </c>
      <c r="O28" s="121"/>
      <c r="P28" s="118"/>
      <c r="Q28" s="120"/>
      <c r="R28" s="122">
        <f>SUM(R9:R27)</f>
        <v>488930.89999999997</v>
      </c>
      <c r="S28" s="130">
        <f>S9+S11+S13+S14+S15+S16+S17+S18+S19+S21+S24+S26+S27</f>
        <v>137551.65000000005</v>
      </c>
    </row>
    <row r="29" spans="1:19" s="72" customFormat="1" ht="11.25">
      <c r="A29" s="124"/>
      <c r="B29" s="125"/>
      <c r="C29" s="117"/>
      <c r="D29" s="117"/>
      <c r="E29" s="126"/>
      <c r="F29" s="120"/>
      <c r="G29" s="119"/>
      <c r="H29" s="120"/>
      <c r="I29" s="120"/>
      <c r="J29" s="120"/>
      <c r="K29" s="120"/>
      <c r="L29" s="118"/>
      <c r="M29" s="120"/>
      <c r="N29" s="120"/>
      <c r="O29" s="127"/>
      <c r="P29" s="118"/>
      <c r="Q29" s="120"/>
      <c r="R29" s="128"/>
      <c r="S29" s="123"/>
    </row>
    <row r="30" spans="1:19" s="72" customFormat="1" ht="11.25">
      <c r="A30" s="87" t="s">
        <v>129</v>
      </c>
      <c r="B30" s="100"/>
      <c r="C30" s="101"/>
      <c r="D30" s="101"/>
      <c r="E30" s="100"/>
      <c r="F30" s="102" t="s">
        <v>130</v>
      </c>
      <c r="G30" s="102"/>
      <c r="H30" s="101"/>
      <c r="I30" s="101"/>
      <c r="J30" s="101"/>
      <c r="K30" s="101"/>
      <c r="L30" s="100"/>
      <c r="M30" s="101"/>
      <c r="N30" s="101"/>
      <c r="O30" s="100"/>
      <c r="P30" s="100"/>
      <c r="Q30" s="101"/>
      <c r="R30" s="102" t="s">
        <v>131</v>
      </c>
      <c r="S30" s="100"/>
    </row>
    <row r="31" ht="12.75">
      <c r="B31" s="141" t="s">
        <v>132</v>
      </c>
    </row>
    <row r="32" spans="2:3" ht="12.75">
      <c r="B32" s="144" t="s">
        <v>133</v>
      </c>
      <c r="C32" s="142">
        <v>28500</v>
      </c>
    </row>
    <row r="33" spans="2:3" ht="12.75">
      <c r="B33" s="144" t="s">
        <v>134</v>
      </c>
      <c r="C33" s="143">
        <v>19400</v>
      </c>
    </row>
    <row r="34" ht="12.75">
      <c r="B34" s="145" t="s">
        <v>135</v>
      </c>
    </row>
    <row r="35" ht="12.75">
      <c r="B35" s="141" t="s">
        <v>136</v>
      </c>
    </row>
    <row r="36" spans="2:5" ht="12.75">
      <c r="B36" s="146" t="s">
        <v>137</v>
      </c>
      <c r="C36" s="147" t="s">
        <v>138</v>
      </c>
      <c r="D36" s="148"/>
      <c r="E36" s="149"/>
    </row>
    <row r="37" spans="3:5" ht="12.75">
      <c r="C37" s="150" t="s">
        <v>139</v>
      </c>
      <c r="D37" s="151"/>
      <c r="E37" s="152"/>
    </row>
    <row r="38" spans="3:5" ht="12.75">
      <c r="C38" s="150" t="s">
        <v>140</v>
      </c>
      <c r="D38" s="151"/>
      <c r="E38" s="152"/>
    </row>
    <row r="39" spans="3:5" ht="12.75">
      <c r="C39" s="150" t="s">
        <v>141</v>
      </c>
      <c r="D39" s="151"/>
      <c r="E39" s="152"/>
    </row>
    <row r="40" spans="3:5" ht="12.75">
      <c r="C40" s="150" t="s">
        <v>142</v>
      </c>
      <c r="D40" s="151"/>
      <c r="E40" s="152"/>
    </row>
    <row r="41" spans="3:5" ht="12.75">
      <c r="C41" s="153" t="s">
        <v>143</v>
      </c>
      <c r="D41" s="154"/>
      <c r="E41" s="155"/>
    </row>
    <row r="42" spans="2:5" ht="12.75">
      <c r="B42" s="158" t="s">
        <v>144</v>
      </c>
      <c r="C42" s="161" t="s">
        <v>145</v>
      </c>
      <c r="D42" s="161"/>
      <c r="E42" s="158">
        <v>450.4</v>
      </c>
    </row>
    <row r="43" spans="3:6" ht="12.75">
      <c r="C43" s="49" t="s">
        <v>17</v>
      </c>
      <c r="D43" s="49" t="s">
        <v>23</v>
      </c>
      <c r="F43" s="49" t="s">
        <v>146</v>
      </c>
    </row>
    <row r="44" spans="2:6" ht="12.75">
      <c r="B44" s="156" t="s">
        <v>29</v>
      </c>
      <c r="C44" s="163">
        <v>3.39</v>
      </c>
      <c r="D44" s="164">
        <f>C44*E42</f>
        <v>1526.856</v>
      </c>
      <c r="E44" s="165"/>
      <c r="F44" s="166">
        <f>D44*6</f>
        <v>9161.136</v>
      </c>
    </row>
    <row r="45" spans="2:6" ht="12.75">
      <c r="B45" s="157" t="s">
        <v>30</v>
      </c>
      <c r="C45" s="167"/>
      <c r="D45" s="168"/>
      <c r="E45" s="169"/>
      <c r="F45" s="170"/>
    </row>
    <row r="46" spans="2:6" ht="12.75">
      <c r="B46" s="156" t="s">
        <v>32</v>
      </c>
      <c r="C46" s="163">
        <v>4.57</v>
      </c>
      <c r="D46" s="164">
        <f>C46*E42</f>
        <v>2058.328</v>
      </c>
      <c r="E46" s="165"/>
      <c r="F46" s="166">
        <f>D46*6</f>
        <v>12349.968</v>
      </c>
    </row>
    <row r="47" spans="2:6" ht="12.75">
      <c r="B47" s="157" t="s">
        <v>33</v>
      </c>
      <c r="C47" s="167"/>
      <c r="D47" s="168"/>
      <c r="E47" s="169"/>
      <c r="F47" s="170"/>
    </row>
    <row r="48" spans="2:6" ht="12.75">
      <c r="B48" s="171" t="s">
        <v>34</v>
      </c>
      <c r="C48" s="172">
        <v>1.29</v>
      </c>
      <c r="D48" s="173">
        <f>C48*E42</f>
        <v>581.016</v>
      </c>
      <c r="E48" s="174"/>
      <c r="F48" s="175">
        <f>D48*6</f>
        <v>3486.0959999999995</v>
      </c>
    </row>
    <row r="49" spans="2:6" ht="12.75">
      <c r="B49" s="171" t="s">
        <v>107</v>
      </c>
      <c r="C49" s="172">
        <v>0.2</v>
      </c>
      <c r="D49" s="173">
        <f>C49*E42</f>
        <v>90.08</v>
      </c>
      <c r="E49" s="174"/>
      <c r="F49" s="175">
        <f>D49*6</f>
        <v>540.48</v>
      </c>
    </row>
    <row r="50" spans="2:18" s="160" customFormat="1" ht="12.75">
      <c r="B50" s="176" t="s">
        <v>108</v>
      </c>
      <c r="C50" s="159"/>
      <c r="D50" s="177">
        <f>D44+D46+D48+D49</f>
        <v>4256.28</v>
      </c>
      <c r="E50" s="178"/>
      <c r="F50" s="179">
        <f>F44+F46+F48+F49</f>
        <v>25537.679999999997</v>
      </c>
      <c r="G50" s="159"/>
      <c r="H50" s="162"/>
      <c r="I50" s="162"/>
      <c r="J50" s="162"/>
      <c r="K50" s="162"/>
      <c r="M50" s="159"/>
      <c r="N50" s="159"/>
      <c r="Q50" s="159"/>
      <c r="R50" s="159"/>
    </row>
    <row r="51" spans="2:6" ht="12.75">
      <c r="B51" s="171" t="s">
        <v>48</v>
      </c>
      <c r="C51" s="180" t="s">
        <v>147</v>
      </c>
      <c r="D51" s="181" t="s">
        <v>148</v>
      </c>
      <c r="E51" s="182"/>
      <c r="F51" s="183">
        <f>9746.66*4+10719.52*2</f>
        <v>60425.68</v>
      </c>
    </row>
  </sheetData>
  <sheetProtection/>
  <printOptions/>
  <pageMargins left="1" right="1" top="1" bottom="1" header="1" footer="1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tabSelected="1" view="pageBreakPreview" zoomScale="56" zoomScaleSheetLayoutView="56" workbookViewId="0" topLeftCell="A1">
      <selection activeCell="N20" sqref="N20"/>
    </sheetView>
  </sheetViews>
  <sheetFormatPr defaultColWidth="9.00390625" defaultRowHeight="12.75"/>
  <cols>
    <col min="1" max="1" width="8.75390625" style="340" customWidth="1"/>
    <col min="2" max="2" width="33.375" style="370" customWidth="1"/>
    <col min="3" max="3" width="19.125" style="369" hidden="1" customWidth="1"/>
    <col min="4" max="4" width="17.125" style="369" hidden="1" customWidth="1"/>
    <col min="5" max="8" width="21.125" style="369" customWidth="1"/>
    <col min="9" max="13" width="21.125" style="341" customWidth="1"/>
    <col min="14" max="14" width="21.125" style="349" customWidth="1"/>
    <col min="15" max="15" width="21.125" style="342" customWidth="1"/>
    <col min="16" max="16" width="17.25390625" style="342" hidden="1" customWidth="1"/>
    <col min="17" max="17" width="11.00390625" style="317" hidden="1" customWidth="1"/>
    <col min="18" max="16384" width="9.125" style="317" customWidth="1"/>
  </cols>
  <sheetData>
    <row r="1" spans="1:17" ht="55.5" customHeight="1" thickBot="1">
      <c r="A1" s="314"/>
      <c r="B1" s="402" t="s">
        <v>206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315"/>
      <c r="Q1" s="316"/>
    </row>
    <row r="2" spans="1:17" ht="21" customHeight="1">
      <c r="A2" s="318" t="s">
        <v>15</v>
      </c>
      <c r="B2" s="352" t="s">
        <v>16</v>
      </c>
      <c r="C2" s="353" t="s">
        <v>149</v>
      </c>
      <c r="D2" s="353" t="s">
        <v>149</v>
      </c>
      <c r="E2" s="353" t="s">
        <v>150</v>
      </c>
      <c r="F2" s="353" t="s">
        <v>151</v>
      </c>
      <c r="G2" s="353" t="s">
        <v>204</v>
      </c>
      <c r="H2" s="353" t="s">
        <v>150</v>
      </c>
      <c r="I2" s="313" t="s">
        <v>151</v>
      </c>
      <c r="J2" s="313" t="s">
        <v>204</v>
      </c>
      <c r="K2" s="353" t="s">
        <v>150</v>
      </c>
      <c r="L2" s="343" t="s">
        <v>153</v>
      </c>
      <c r="M2" s="313" t="s">
        <v>209</v>
      </c>
      <c r="N2" s="344" t="s">
        <v>66</v>
      </c>
      <c r="O2" s="319" t="s">
        <v>69</v>
      </c>
      <c r="P2" s="320" t="s">
        <v>152</v>
      </c>
      <c r="Q2" s="316"/>
    </row>
    <row r="3" spans="1:17" ht="21" customHeight="1">
      <c r="A3" s="318" t="s">
        <v>20</v>
      </c>
      <c r="B3" s="354"/>
      <c r="C3" s="353" t="s">
        <v>155</v>
      </c>
      <c r="D3" s="353" t="s">
        <v>155</v>
      </c>
      <c r="E3" s="353" t="s">
        <v>156</v>
      </c>
      <c r="F3" s="353" t="s">
        <v>156</v>
      </c>
      <c r="G3" s="353" t="s">
        <v>156</v>
      </c>
      <c r="H3" s="353" t="s">
        <v>144</v>
      </c>
      <c r="I3" s="313" t="s">
        <v>144</v>
      </c>
      <c r="J3" s="313" t="s">
        <v>144</v>
      </c>
      <c r="K3" s="353" t="s">
        <v>209</v>
      </c>
      <c r="L3" s="343" t="s">
        <v>151</v>
      </c>
      <c r="M3" s="371" t="s">
        <v>210</v>
      </c>
      <c r="N3" s="344" t="s">
        <v>73</v>
      </c>
      <c r="O3" s="319" t="s">
        <v>76</v>
      </c>
      <c r="P3" s="321" t="s">
        <v>157</v>
      </c>
      <c r="Q3" s="316"/>
    </row>
    <row r="4" spans="1:17" ht="15.75">
      <c r="A4" s="318"/>
      <c r="B4" s="354"/>
      <c r="C4" s="353"/>
      <c r="D4" s="353"/>
      <c r="E4" s="353" t="s">
        <v>158</v>
      </c>
      <c r="F4" s="353" t="s">
        <v>158</v>
      </c>
      <c r="G4" s="353" t="s">
        <v>158</v>
      </c>
      <c r="H4" s="353" t="s">
        <v>158</v>
      </c>
      <c r="I4" s="313" t="s">
        <v>158</v>
      </c>
      <c r="J4" s="313" t="s">
        <v>158</v>
      </c>
      <c r="K4" s="353" t="s">
        <v>158</v>
      </c>
      <c r="L4" s="343" t="s">
        <v>158</v>
      </c>
      <c r="M4" s="313" t="s">
        <v>158</v>
      </c>
      <c r="N4" s="345" t="s">
        <v>86</v>
      </c>
      <c r="O4" s="319" t="s">
        <v>88</v>
      </c>
      <c r="P4" s="322"/>
      <c r="Q4" s="316"/>
    </row>
    <row r="5" spans="1:17" ht="16.5" thickBot="1">
      <c r="A5" s="318"/>
      <c r="B5" s="354"/>
      <c r="C5" s="353" t="s">
        <v>159</v>
      </c>
      <c r="D5" s="353" t="s">
        <v>160</v>
      </c>
      <c r="E5" s="353"/>
      <c r="F5" s="353"/>
      <c r="G5" s="353"/>
      <c r="H5" s="353"/>
      <c r="I5" s="313"/>
      <c r="J5" s="313"/>
      <c r="K5" s="313"/>
      <c r="L5" s="313"/>
      <c r="M5" s="313"/>
      <c r="N5" s="345"/>
      <c r="O5" s="319" t="s">
        <v>161</v>
      </c>
      <c r="P5" s="323"/>
      <c r="Q5" s="316"/>
    </row>
    <row r="6" spans="1:17" ht="29.25" customHeight="1" hidden="1">
      <c r="A6" s="374" t="s">
        <v>162</v>
      </c>
      <c r="B6" s="375"/>
      <c r="C6" s="355" t="e">
        <f>C7+C12+C13+#REF!+C14+#REF!+#REF!+#REF!+#REF!</f>
        <v>#REF!</v>
      </c>
      <c r="D6" s="355" t="e">
        <f>D7+D12+D13+#REF!+D14+#REF!+#REF!+#REF!+#REF!</f>
        <v>#REF!</v>
      </c>
      <c r="E6" s="355">
        <v>687587.95</v>
      </c>
      <c r="F6" s="355">
        <v>553570.98</v>
      </c>
      <c r="G6" s="355"/>
      <c r="H6" s="355"/>
      <c r="I6" s="324"/>
      <c r="J6" s="324"/>
      <c r="K6" s="324"/>
      <c r="L6" s="324"/>
      <c r="M6" s="324"/>
      <c r="N6" s="346" t="s">
        <v>163</v>
      </c>
      <c r="O6" s="325" t="e">
        <f>E6+#REF!</f>
        <v>#REF!</v>
      </c>
      <c r="P6" s="326"/>
      <c r="Q6" s="316"/>
    </row>
    <row r="7" spans="1:17" ht="65.25" customHeight="1">
      <c r="A7" s="327">
        <v>1</v>
      </c>
      <c r="B7" s="356" t="s">
        <v>164</v>
      </c>
      <c r="C7" s="355">
        <v>9.59</v>
      </c>
      <c r="D7" s="355">
        <v>10.39</v>
      </c>
      <c r="E7" s="403">
        <v>486160.38</v>
      </c>
      <c r="F7" s="403">
        <v>456164.02</v>
      </c>
      <c r="G7" s="403">
        <f aca="true" t="shared" si="0" ref="G7:G13">E7-F7</f>
        <v>29996.359999999986</v>
      </c>
      <c r="H7" s="403">
        <v>116717.16</v>
      </c>
      <c r="I7" s="298">
        <v>85457.11</v>
      </c>
      <c r="J7" s="298">
        <f aca="true" t="shared" si="1" ref="J7:J13">H7-I7</f>
        <v>31260.050000000003</v>
      </c>
      <c r="K7" s="298">
        <f>E7+H7</f>
        <v>602877.54</v>
      </c>
      <c r="L7" s="298">
        <f>F7+I7</f>
        <v>541621.13</v>
      </c>
      <c r="M7" s="298">
        <f>K7-L7</f>
        <v>61256.41000000003</v>
      </c>
      <c r="N7" s="350" t="s">
        <v>166</v>
      </c>
      <c r="O7" s="298">
        <f>E7+H7</f>
        <v>602877.54</v>
      </c>
      <c r="P7" s="326"/>
      <c r="Q7" s="316"/>
    </row>
    <row r="8" spans="1:19" ht="65.25" customHeight="1">
      <c r="A8" s="328" t="s">
        <v>193</v>
      </c>
      <c r="B8" s="357" t="s">
        <v>208</v>
      </c>
      <c r="C8" s="358">
        <v>1.18</v>
      </c>
      <c r="D8" s="358">
        <v>2.29</v>
      </c>
      <c r="E8" s="403">
        <v>84433.44</v>
      </c>
      <c r="F8" s="403">
        <v>76206.28</v>
      </c>
      <c r="G8" s="403">
        <f t="shared" si="0"/>
        <v>8227.160000000003</v>
      </c>
      <c r="H8" s="404">
        <v>25015.08</v>
      </c>
      <c r="I8" s="301">
        <v>16017.3</v>
      </c>
      <c r="J8" s="298">
        <f t="shared" si="1"/>
        <v>8997.780000000002</v>
      </c>
      <c r="K8" s="298">
        <f aca="true" t="shared" si="2" ref="K8:K14">E8+H8</f>
        <v>109448.52</v>
      </c>
      <c r="L8" s="298">
        <f aca="true" t="shared" si="3" ref="L8:L14">F8+I8</f>
        <v>92223.58</v>
      </c>
      <c r="M8" s="298">
        <f aca="true" t="shared" si="4" ref="M8:M14">K8-L8</f>
        <v>17224.940000000002</v>
      </c>
      <c r="N8" s="350" t="s">
        <v>166</v>
      </c>
      <c r="O8" s="298">
        <f aca="true" t="shared" si="5" ref="O8:O14">E8+H8</f>
        <v>109448.52</v>
      </c>
      <c r="P8" s="329"/>
      <c r="Q8" s="330" t="e">
        <f>E10+#REF!</f>
        <v>#REF!</v>
      </c>
      <c r="S8" s="331"/>
    </row>
    <row r="9" spans="1:17" ht="65.25" customHeight="1">
      <c r="A9" s="332" t="s">
        <v>194</v>
      </c>
      <c r="B9" s="357" t="s">
        <v>165</v>
      </c>
      <c r="C9" s="359">
        <v>1.45</v>
      </c>
      <c r="D9" s="360">
        <v>1.68</v>
      </c>
      <c r="E9" s="403">
        <v>265708.98</v>
      </c>
      <c r="F9" s="403">
        <v>248741.95</v>
      </c>
      <c r="G9" s="403">
        <f t="shared" si="0"/>
        <v>16967.02999999997</v>
      </c>
      <c r="H9" s="404">
        <v>63793.8</v>
      </c>
      <c r="I9" s="301">
        <v>44541.2</v>
      </c>
      <c r="J9" s="298">
        <f t="shared" si="1"/>
        <v>19252.600000000006</v>
      </c>
      <c r="K9" s="298">
        <f t="shared" si="2"/>
        <v>329502.77999999997</v>
      </c>
      <c r="L9" s="298">
        <f t="shared" si="3"/>
        <v>293283.15</v>
      </c>
      <c r="M9" s="298">
        <f t="shared" si="4"/>
        <v>36219.62999999995</v>
      </c>
      <c r="N9" s="350" t="s">
        <v>166</v>
      </c>
      <c r="O9" s="298">
        <f t="shared" si="5"/>
        <v>329502.77999999997</v>
      </c>
      <c r="P9" s="329"/>
      <c r="Q9" s="316"/>
    </row>
    <row r="10" spans="1:17" ht="65.25" customHeight="1">
      <c r="A10" s="332" t="s">
        <v>195</v>
      </c>
      <c r="B10" s="361" t="s">
        <v>167</v>
      </c>
      <c r="C10" s="360">
        <v>1.41</v>
      </c>
      <c r="D10" s="360">
        <v>152</v>
      </c>
      <c r="E10" s="403">
        <v>71293.62</v>
      </c>
      <c r="F10" s="403">
        <v>66842</v>
      </c>
      <c r="G10" s="403">
        <f t="shared" si="0"/>
        <v>4451.619999999995</v>
      </c>
      <c r="H10" s="404">
        <v>16603.8</v>
      </c>
      <c r="I10" s="301">
        <v>10152.8</v>
      </c>
      <c r="J10" s="298">
        <f t="shared" si="1"/>
        <v>6451</v>
      </c>
      <c r="K10" s="298">
        <f t="shared" si="2"/>
        <v>87897.42</v>
      </c>
      <c r="L10" s="298">
        <f t="shared" si="3"/>
        <v>76994.8</v>
      </c>
      <c r="M10" s="298">
        <f t="shared" si="4"/>
        <v>10902.619999999995</v>
      </c>
      <c r="N10" s="350" t="s">
        <v>166</v>
      </c>
      <c r="O10" s="298">
        <f t="shared" si="5"/>
        <v>87897.42</v>
      </c>
      <c r="P10" s="329"/>
      <c r="Q10" s="316">
        <v>88000</v>
      </c>
    </row>
    <row r="11" spans="1:17" ht="65.25" customHeight="1">
      <c r="A11" s="332" t="s">
        <v>196</v>
      </c>
      <c r="B11" s="361" t="s">
        <v>198</v>
      </c>
      <c r="C11" s="360">
        <v>0.34</v>
      </c>
      <c r="D11" s="360">
        <v>0.34</v>
      </c>
      <c r="E11" s="404">
        <v>16545.84</v>
      </c>
      <c r="F11" s="403">
        <v>15671.85</v>
      </c>
      <c r="G11" s="403">
        <f t="shared" si="0"/>
        <v>873.9899999999998</v>
      </c>
      <c r="H11" s="404">
        <v>0</v>
      </c>
      <c r="I11" s="301">
        <v>0</v>
      </c>
      <c r="J11" s="298">
        <f t="shared" si="1"/>
        <v>0</v>
      </c>
      <c r="K11" s="298">
        <f t="shared" si="2"/>
        <v>16545.84</v>
      </c>
      <c r="L11" s="298">
        <f t="shared" si="3"/>
        <v>15671.85</v>
      </c>
      <c r="M11" s="298">
        <f t="shared" si="4"/>
        <v>873.9899999999998</v>
      </c>
      <c r="N11" s="401" t="s">
        <v>212</v>
      </c>
      <c r="O11" s="298">
        <v>24648</v>
      </c>
      <c r="P11" s="329"/>
      <c r="Q11" s="330" t="e">
        <f>Q8-Q10</f>
        <v>#REF!</v>
      </c>
    </row>
    <row r="12" spans="1:17" ht="65.25" customHeight="1" thickBot="1">
      <c r="A12" s="318">
        <v>6</v>
      </c>
      <c r="B12" s="357" t="s">
        <v>168</v>
      </c>
      <c r="C12" s="362">
        <v>0.56</v>
      </c>
      <c r="D12" s="362">
        <v>0.65</v>
      </c>
      <c r="E12" s="405">
        <v>29442.78</v>
      </c>
      <c r="F12" s="405">
        <v>27540.44</v>
      </c>
      <c r="G12" s="405">
        <f t="shared" si="0"/>
        <v>1902.3400000000001</v>
      </c>
      <c r="H12" s="405">
        <v>0</v>
      </c>
      <c r="I12" s="307">
        <v>0</v>
      </c>
      <c r="J12" s="298">
        <f t="shared" si="1"/>
        <v>0</v>
      </c>
      <c r="K12" s="298">
        <f t="shared" si="2"/>
        <v>29442.78</v>
      </c>
      <c r="L12" s="298">
        <f t="shared" si="3"/>
        <v>27540.44</v>
      </c>
      <c r="M12" s="298">
        <f t="shared" si="4"/>
        <v>1902.3400000000001</v>
      </c>
      <c r="N12" s="294" t="s">
        <v>213</v>
      </c>
      <c r="O12" s="298">
        <v>36259.68</v>
      </c>
      <c r="P12" s="333">
        <f>O12-F12</f>
        <v>8719.240000000002</v>
      </c>
      <c r="Q12" s="316"/>
    </row>
    <row r="13" spans="1:17" ht="65.25" customHeight="1" thickBot="1">
      <c r="A13" s="351">
        <v>7</v>
      </c>
      <c r="B13" s="356" t="s">
        <v>199</v>
      </c>
      <c r="C13" s="363">
        <v>0.59</v>
      </c>
      <c r="D13" s="363">
        <v>0.62</v>
      </c>
      <c r="E13" s="406">
        <v>29442.15</v>
      </c>
      <c r="F13" s="406">
        <v>27822.21</v>
      </c>
      <c r="G13" s="406">
        <f t="shared" si="0"/>
        <v>1619.9400000000023</v>
      </c>
      <c r="H13" s="406">
        <v>4829.28</v>
      </c>
      <c r="I13" s="407">
        <v>2780.15</v>
      </c>
      <c r="J13" s="407">
        <f t="shared" si="1"/>
        <v>2049.1299999999997</v>
      </c>
      <c r="K13" s="298">
        <f t="shared" si="2"/>
        <v>34271.43</v>
      </c>
      <c r="L13" s="298">
        <f t="shared" si="3"/>
        <v>30602.36</v>
      </c>
      <c r="M13" s="298">
        <f t="shared" si="4"/>
        <v>3669.0699999999997</v>
      </c>
      <c r="N13" s="350" t="s">
        <v>166</v>
      </c>
      <c r="O13" s="298">
        <f t="shared" si="5"/>
        <v>34271.43</v>
      </c>
      <c r="P13" s="334"/>
      <c r="Q13" s="316"/>
    </row>
    <row r="14" spans="1:17" ht="65.25" customHeight="1" thickBot="1">
      <c r="A14" s="318">
        <v>8</v>
      </c>
      <c r="B14" s="364" t="s">
        <v>169</v>
      </c>
      <c r="C14" s="362">
        <v>3.24</v>
      </c>
      <c r="D14" s="362">
        <v>3.24</v>
      </c>
      <c r="E14" s="405">
        <v>142795.8</v>
      </c>
      <c r="F14" s="405">
        <v>132297.23</v>
      </c>
      <c r="G14" s="405">
        <f>E14-F14</f>
        <v>10498.569999999978</v>
      </c>
      <c r="H14" s="405">
        <v>0</v>
      </c>
      <c r="I14" s="307">
        <v>0</v>
      </c>
      <c r="J14" s="307">
        <v>0</v>
      </c>
      <c r="K14" s="298">
        <f t="shared" si="2"/>
        <v>142795.8</v>
      </c>
      <c r="L14" s="298">
        <f t="shared" si="3"/>
        <v>132297.23</v>
      </c>
      <c r="M14" s="298">
        <f t="shared" si="4"/>
        <v>10498.569999999978</v>
      </c>
      <c r="N14" s="294" t="s">
        <v>170</v>
      </c>
      <c r="O14" s="298">
        <f t="shared" si="5"/>
        <v>142795.8</v>
      </c>
      <c r="P14" s="334">
        <f>O14-F14</f>
        <v>10498.569999999978</v>
      </c>
      <c r="Q14" s="316"/>
    </row>
    <row r="15" spans="1:17" ht="42.75" customHeight="1" thickBot="1">
      <c r="A15" s="318"/>
      <c r="B15" s="365" t="s">
        <v>171</v>
      </c>
      <c r="C15" s="362" t="s">
        <v>172</v>
      </c>
      <c r="D15" s="362" t="s">
        <v>172</v>
      </c>
      <c r="E15" s="408">
        <f>SUM(E7:E14)</f>
        <v>1125822.99</v>
      </c>
      <c r="F15" s="408">
        <f>SUM(F7:F14)</f>
        <v>1051285.98</v>
      </c>
      <c r="G15" s="408">
        <f>SUM(G7:G14)</f>
        <v>74537.00999999994</v>
      </c>
      <c r="H15" s="408">
        <f>SUM(H7:H14)</f>
        <v>226959.11999999997</v>
      </c>
      <c r="I15" s="409">
        <f>SUM(I7:I14)</f>
        <v>158948.55999999997</v>
      </c>
      <c r="J15" s="409">
        <f>SUM(J7:J14)</f>
        <v>68010.56000000001</v>
      </c>
      <c r="K15" s="409">
        <f>SUM(K7:K14)</f>
        <v>1352782.11</v>
      </c>
      <c r="L15" s="409">
        <f>SUM(L7:L14)</f>
        <v>1210234.54</v>
      </c>
      <c r="M15" s="409">
        <f>SUM(M7:M14)</f>
        <v>142547.56999999995</v>
      </c>
      <c r="N15" s="294"/>
      <c r="O15" s="409">
        <f>SUM(O7:O14)</f>
        <v>1367701.17</v>
      </c>
      <c r="P15" s="335">
        <f>SUM(P12:P14)+P7</f>
        <v>19217.80999999998</v>
      </c>
      <c r="Q15" s="316"/>
    </row>
    <row r="16" spans="1:17" ht="42.75" customHeight="1">
      <c r="A16" s="318">
        <v>10</v>
      </c>
      <c r="B16" s="354" t="s">
        <v>173</v>
      </c>
      <c r="C16" s="362">
        <v>23.13</v>
      </c>
      <c r="D16" s="362">
        <v>25.44</v>
      </c>
      <c r="E16" s="405">
        <v>214102.51</v>
      </c>
      <c r="F16" s="405">
        <v>203690.75</v>
      </c>
      <c r="G16" s="405">
        <f>E16-F16</f>
        <v>10411.76000000001</v>
      </c>
      <c r="H16" s="405">
        <v>60349.99</v>
      </c>
      <c r="I16" s="307">
        <v>30313.1</v>
      </c>
      <c r="J16" s="307">
        <f>H16-I16</f>
        <v>30036.89</v>
      </c>
      <c r="K16" s="410">
        <f>E16+H16</f>
        <v>274452.5</v>
      </c>
      <c r="L16" s="298">
        <f>F16+I16</f>
        <v>234003.85</v>
      </c>
      <c r="M16" s="298">
        <f>K16-L16</f>
        <v>40448.649999999994</v>
      </c>
      <c r="N16" s="294" t="s">
        <v>174</v>
      </c>
      <c r="O16" s="307">
        <v>276747.37</v>
      </c>
      <c r="P16" s="334">
        <f>O16-F16</f>
        <v>73056.62</v>
      </c>
      <c r="Q16" s="336"/>
    </row>
    <row r="17" spans="1:17" ht="42.75" customHeight="1" thickBot="1">
      <c r="A17" s="318">
        <v>11</v>
      </c>
      <c r="B17" s="354" t="s">
        <v>175</v>
      </c>
      <c r="C17" s="362">
        <v>21.03</v>
      </c>
      <c r="D17" s="362">
        <v>25.44</v>
      </c>
      <c r="E17" s="405">
        <v>198821.94</v>
      </c>
      <c r="F17" s="405">
        <v>188911.52</v>
      </c>
      <c r="G17" s="405">
        <f>E17-F17</f>
        <v>9910.420000000013</v>
      </c>
      <c r="H17" s="405">
        <v>53265.75</v>
      </c>
      <c r="I17" s="307">
        <v>25115.16</v>
      </c>
      <c r="J17" s="307">
        <f>H17-I17</f>
        <v>28150.59</v>
      </c>
      <c r="K17" s="410">
        <f>E17+H17</f>
        <v>252087.69</v>
      </c>
      <c r="L17" s="298">
        <f>F17+I17</f>
        <v>214026.68</v>
      </c>
      <c r="M17" s="298">
        <f>K17-L17</f>
        <v>38061.01000000001</v>
      </c>
      <c r="N17" s="294" t="s">
        <v>174</v>
      </c>
      <c r="O17" s="307">
        <v>276747.37</v>
      </c>
      <c r="P17" s="323">
        <f>O17-F17</f>
        <v>87835.85</v>
      </c>
      <c r="Q17" s="316"/>
    </row>
    <row r="18" spans="1:17" ht="42.75" customHeight="1" thickBot="1">
      <c r="A18" s="318"/>
      <c r="B18" s="354" t="s">
        <v>207</v>
      </c>
      <c r="C18" s="362">
        <v>23.13</v>
      </c>
      <c r="D18" s="362">
        <v>25.44</v>
      </c>
      <c r="E18" s="405"/>
      <c r="F18" s="405"/>
      <c r="G18" s="405"/>
      <c r="H18" s="405"/>
      <c r="I18" s="307"/>
      <c r="J18" s="307"/>
      <c r="K18" s="410">
        <f>E18+H18</f>
        <v>0</v>
      </c>
      <c r="L18" s="411">
        <v>24659.68</v>
      </c>
      <c r="M18" s="298"/>
      <c r="N18" s="294"/>
      <c r="O18" s="307"/>
      <c r="P18" s="334">
        <f>O18-F18</f>
        <v>0</v>
      </c>
      <c r="Q18" s="336"/>
    </row>
    <row r="19" spans="1:17" ht="42.75" customHeight="1">
      <c r="A19" s="318">
        <v>12</v>
      </c>
      <c r="B19" s="366" t="s">
        <v>176</v>
      </c>
      <c r="C19" s="362" t="s">
        <v>201</v>
      </c>
      <c r="D19" s="362" t="s">
        <v>202</v>
      </c>
      <c r="E19" s="405">
        <v>16635.8</v>
      </c>
      <c r="F19" s="405">
        <v>13880.85</v>
      </c>
      <c r="G19" s="405">
        <f>E19-F19</f>
        <v>2754.949999999999</v>
      </c>
      <c r="H19" s="405">
        <v>5129.25</v>
      </c>
      <c r="I19" s="307">
        <v>2281.15</v>
      </c>
      <c r="J19" s="307">
        <f>H19-I19</f>
        <v>2848.1</v>
      </c>
      <c r="K19" s="410">
        <f>E19+H19</f>
        <v>21765.05</v>
      </c>
      <c r="L19" s="298">
        <f>F19+I19</f>
        <v>16162</v>
      </c>
      <c r="M19" s="298">
        <f>K19-L19</f>
        <v>5603.049999999999</v>
      </c>
      <c r="N19" s="294" t="s">
        <v>177</v>
      </c>
      <c r="O19" s="307">
        <v>22896.3</v>
      </c>
      <c r="P19" s="334">
        <f>O19-F19</f>
        <v>9015.449999999999</v>
      </c>
      <c r="Q19" s="316"/>
    </row>
    <row r="20" spans="1:17" ht="42.75" customHeight="1">
      <c r="A20" s="318">
        <v>13</v>
      </c>
      <c r="B20" s="366" t="s">
        <v>178</v>
      </c>
      <c r="C20" s="362">
        <v>1541.78</v>
      </c>
      <c r="D20" s="362">
        <v>1621.95</v>
      </c>
      <c r="E20" s="405">
        <v>1162381.97</v>
      </c>
      <c r="F20" s="405">
        <v>1024648.82</v>
      </c>
      <c r="G20" s="405">
        <f>E20-F20</f>
        <v>137733.15000000002</v>
      </c>
      <c r="H20" s="405">
        <v>258776.35</v>
      </c>
      <c r="I20" s="307">
        <v>146542.79</v>
      </c>
      <c r="J20" s="307">
        <f>H20-I20</f>
        <v>112233.56</v>
      </c>
      <c r="K20" s="410">
        <f>E20+H20</f>
        <v>1421158.32</v>
      </c>
      <c r="L20" s="298">
        <f>F20+I20</f>
        <v>1171191.6099999999</v>
      </c>
      <c r="M20" s="298">
        <f>K20-L20</f>
        <v>249966.7100000002</v>
      </c>
      <c r="N20" s="294" t="s">
        <v>179</v>
      </c>
      <c r="O20" s="307" t="s">
        <v>211</v>
      </c>
      <c r="P20" s="329"/>
      <c r="Q20" s="316"/>
    </row>
    <row r="21" spans="1:17" ht="42.75" customHeight="1" thickBot="1">
      <c r="A21" s="318"/>
      <c r="B21" s="365" t="s">
        <v>180</v>
      </c>
      <c r="C21" s="353" t="s">
        <v>128</v>
      </c>
      <c r="D21" s="353" t="s">
        <v>128</v>
      </c>
      <c r="E21" s="408">
        <f aca="true" t="shared" si="6" ref="E21:J21">SUM(E16:E20)</f>
        <v>1591942.22</v>
      </c>
      <c r="F21" s="408">
        <f t="shared" si="6"/>
        <v>1431131.94</v>
      </c>
      <c r="G21" s="408">
        <f t="shared" si="6"/>
        <v>160810.28000000003</v>
      </c>
      <c r="H21" s="408">
        <f t="shared" si="6"/>
        <v>377521.33999999997</v>
      </c>
      <c r="I21" s="409">
        <f t="shared" si="6"/>
        <v>204252.2</v>
      </c>
      <c r="J21" s="409">
        <f t="shared" si="6"/>
        <v>173269.13999999998</v>
      </c>
      <c r="K21" s="412">
        <f>SUM(K16:K20)</f>
        <v>1969463.56</v>
      </c>
      <c r="L21" s="413">
        <f>L16+L17+L19+L20</f>
        <v>1635384.14</v>
      </c>
      <c r="M21" s="413">
        <f>SUM(M16:M20)</f>
        <v>334079.4200000002</v>
      </c>
      <c r="N21" s="294"/>
      <c r="O21" s="409">
        <f>SUM(O16:O20)</f>
        <v>576391.04</v>
      </c>
      <c r="P21" s="323"/>
      <c r="Q21" s="316"/>
    </row>
    <row r="22" spans="1:17" ht="42.75" customHeight="1" thickBot="1">
      <c r="A22" s="318"/>
      <c r="B22" s="352" t="s">
        <v>127</v>
      </c>
      <c r="C22" s="353" t="s">
        <v>128</v>
      </c>
      <c r="D22" s="353" t="s">
        <v>128</v>
      </c>
      <c r="E22" s="408">
        <f aca="true" t="shared" si="7" ref="E22:J22">E15+E21</f>
        <v>2717765.21</v>
      </c>
      <c r="F22" s="408">
        <f t="shared" si="7"/>
        <v>2482417.92</v>
      </c>
      <c r="G22" s="408">
        <f t="shared" si="7"/>
        <v>235347.28999999998</v>
      </c>
      <c r="H22" s="408">
        <f t="shared" si="7"/>
        <v>604480.46</v>
      </c>
      <c r="I22" s="409">
        <f t="shared" si="7"/>
        <v>363200.76</v>
      </c>
      <c r="J22" s="409">
        <f t="shared" si="7"/>
        <v>241279.7</v>
      </c>
      <c r="K22" s="409">
        <f>K15+K21</f>
        <v>3322245.67</v>
      </c>
      <c r="L22" s="409">
        <f>L15+L21</f>
        <v>2845618.6799999997</v>
      </c>
      <c r="M22" s="409">
        <f>M15+M21</f>
        <v>476626.99000000017</v>
      </c>
      <c r="N22" s="294"/>
      <c r="O22" s="313">
        <f>O15+O21</f>
        <v>1944092.21</v>
      </c>
      <c r="P22" s="335">
        <f>SUM(P15:P21)</f>
        <v>189125.72999999998</v>
      </c>
      <c r="Q22" s="316"/>
    </row>
    <row r="23" spans="1:17" ht="20.25" customHeight="1" hidden="1">
      <c r="A23" s="372" t="s">
        <v>181</v>
      </c>
      <c r="B23" s="372"/>
      <c r="C23" s="372"/>
      <c r="D23" s="372"/>
      <c r="E23" s="372"/>
      <c r="F23" s="372"/>
      <c r="G23" s="367"/>
      <c r="H23" s="367"/>
      <c r="I23" s="337"/>
      <c r="J23" s="337"/>
      <c r="K23" s="337"/>
      <c r="L23" s="337"/>
      <c r="M23" s="337"/>
      <c r="N23" s="347"/>
      <c r="O23" s="338"/>
      <c r="P23" s="339"/>
      <c r="Q23" s="316"/>
    </row>
    <row r="24" spans="1:17" ht="20.25" customHeight="1" hidden="1">
      <c r="A24" s="373"/>
      <c r="B24" s="373"/>
      <c r="C24" s="373"/>
      <c r="D24" s="373"/>
      <c r="E24" s="373"/>
      <c r="F24" s="373"/>
      <c r="G24" s="367"/>
      <c r="H24" s="367"/>
      <c r="I24" s="337"/>
      <c r="J24" s="337"/>
      <c r="K24" s="337"/>
      <c r="L24" s="337"/>
      <c r="M24" s="337"/>
      <c r="N24" s="347"/>
      <c r="O24" s="338"/>
      <c r="P24" s="339"/>
      <c r="Q24" s="316"/>
    </row>
    <row r="25" spans="1:17" ht="44.25" customHeight="1" hidden="1">
      <c r="A25" s="373"/>
      <c r="B25" s="373"/>
      <c r="C25" s="373"/>
      <c r="D25" s="373"/>
      <c r="E25" s="373"/>
      <c r="F25" s="373"/>
      <c r="G25" s="367"/>
      <c r="H25" s="367"/>
      <c r="I25" s="337"/>
      <c r="J25" s="337"/>
      <c r="K25" s="337"/>
      <c r="L25" s="337"/>
      <c r="M25" s="337"/>
      <c r="N25" s="348"/>
      <c r="O25" s="315"/>
      <c r="P25" s="315"/>
      <c r="Q25" s="316"/>
    </row>
    <row r="26" ht="15">
      <c r="B26" s="368"/>
    </row>
  </sheetData>
  <sheetProtection/>
  <mergeCells count="3">
    <mergeCell ref="A23:F25"/>
    <mergeCell ref="B1:O1"/>
    <mergeCell ref="A6:B6"/>
  </mergeCells>
  <printOptions/>
  <pageMargins left="0.3937007874015748" right="0" top="0.3937007874015748" bottom="0" header="0" footer="0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zoomScale="75" zoomScaleNormal="75" zoomScalePageLayoutView="0" workbookViewId="0" topLeftCell="A1">
      <selection activeCell="M7" sqref="M7"/>
    </sheetView>
  </sheetViews>
  <sheetFormatPr defaultColWidth="9.00390625" defaultRowHeight="12.75"/>
  <cols>
    <col min="1" max="1" width="4.875" style="282" customWidth="1"/>
    <col min="2" max="2" width="41.625" style="194" customWidth="1"/>
    <col min="3" max="3" width="15.625" style="232" customWidth="1"/>
    <col min="4" max="4" width="15.25390625" style="231" customWidth="1"/>
    <col min="5" max="5" width="14.00390625" style="231" hidden="1" customWidth="1"/>
    <col min="6" max="6" width="14.625" style="231" hidden="1" customWidth="1"/>
    <col min="7" max="7" width="15.375" style="234" hidden="1" customWidth="1"/>
    <col min="8" max="8" width="16.875" style="233" customWidth="1"/>
    <col min="9" max="10" width="17.125" style="234" customWidth="1"/>
    <col min="11" max="11" width="15.375" style="234" customWidth="1"/>
    <col min="12" max="12" width="17.375" style="235" hidden="1" customWidth="1"/>
    <col min="13" max="13" width="16.125" style="235" customWidth="1"/>
    <col min="14" max="14" width="13.875" style="206" customWidth="1"/>
    <col min="15" max="15" width="17.25390625" style="212" hidden="1" customWidth="1"/>
    <col min="16" max="16" width="11.00390625" style="194" hidden="1" customWidth="1"/>
    <col min="17" max="16384" width="9.125" style="194" customWidth="1"/>
  </cols>
  <sheetData>
    <row r="1" spans="1:15" s="192" customFormat="1" ht="27.75" customHeight="1">
      <c r="A1" s="279"/>
      <c r="B1" s="378" t="s">
        <v>190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204"/>
    </row>
    <row r="2" spans="1:15" s="223" customFormat="1" ht="21" customHeight="1">
      <c r="A2" s="280" t="s">
        <v>15</v>
      </c>
      <c r="B2" s="193" t="s">
        <v>16</v>
      </c>
      <c r="C2" s="237" t="s">
        <v>149</v>
      </c>
      <c r="D2" s="237" t="s">
        <v>149</v>
      </c>
      <c r="E2" s="236" t="s">
        <v>150</v>
      </c>
      <c r="F2" s="236" t="s">
        <v>151</v>
      </c>
      <c r="G2" s="236" t="s">
        <v>152</v>
      </c>
      <c r="H2" s="240" t="s">
        <v>152</v>
      </c>
      <c r="I2" s="237" t="s">
        <v>149</v>
      </c>
      <c r="J2" s="237" t="s">
        <v>149</v>
      </c>
      <c r="K2" s="236" t="s">
        <v>152</v>
      </c>
      <c r="L2" s="240" t="s">
        <v>153</v>
      </c>
      <c r="M2" s="240" t="s">
        <v>154</v>
      </c>
      <c r="N2" s="291" t="s">
        <v>191</v>
      </c>
      <c r="O2" s="226" t="s">
        <v>152</v>
      </c>
    </row>
    <row r="3" spans="1:15" s="223" customFormat="1" ht="21" customHeight="1">
      <c r="A3" s="280" t="s">
        <v>20</v>
      </c>
      <c r="B3" s="187"/>
      <c r="C3" s="237" t="s">
        <v>155</v>
      </c>
      <c r="D3" s="237" t="s">
        <v>155</v>
      </c>
      <c r="E3" s="236" t="s">
        <v>156</v>
      </c>
      <c r="F3" s="236" t="s">
        <v>156</v>
      </c>
      <c r="G3" s="238" t="s">
        <v>156</v>
      </c>
      <c r="H3" s="240" t="s">
        <v>156</v>
      </c>
      <c r="I3" s="236" t="s">
        <v>144</v>
      </c>
      <c r="J3" s="236" t="s">
        <v>144</v>
      </c>
      <c r="K3" s="236" t="s">
        <v>144</v>
      </c>
      <c r="L3" s="236" t="s">
        <v>151</v>
      </c>
      <c r="M3" s="236" t="s">
        <v>152</v>
      </c>
      <c r="N3" s="246"/>
      <c r="O3" s="208" t="s">
        <v>157</v>
      </c>
    </row>
    <row r="4" spans="1:15" s="223" customFormat="1" ht="12.75">
      <c r="A4" s="280"/>
      <c r="B4" s="187"/>
      <c r="C4" s="237"/>
      <c r="D4" s="236"/>
      <c r="E4" s="240" t="s">
        <v>158</v>
      </c>
      <c r="F4" s="240" t="s">
        <v>158</v>
      </c>
      <c r="G4" s="239" t="s">
        <v>158</v>
      </c>
      <c r="H4" s="239" t="s">
        <v>158</v>
      </c>
      <c r="I4" s="237"/>
      <c r="J4" s="236"/>
      <c r="K4" s="240" t="s">
        <v>158</v>
      </c>
      <c r="L4" s="240" t="s">
        <v>158</v>
      </c>
      <c r="M4" s="240" t="s">
        <v>158</v>
      </c>
      <c r="N4" s="246"/>
      <c r="O4" s="209"/>
    </row>
    <row r="5" spans="1:15" s="223" customFormat="1" ht="13.5" thickBot="1">
      <c r="A5" s="281"/>
      <c r="B5" s="187"/>
      <c r="C5" s="241" t="s">
        <v>159</v>
      </c>
      <c r="D5" s="241" t="s">
        <v>160</v>
      </c>
      <c r="E5" s="236"/>
      <c r="F5" s="236"/>
      <c r="G5" s="239"/>
      <c r="H5" s="238"/>
      <c r="I5" s="241" t="s">
        <v>159</v>
      </c>
      <c r="J5" s="241" t="s">
        <v>159</v>
      </c>
      <c r="K5" s="240"/>
      <c r="L5" s="247"/>
      <c r="M5" s="247"/>
      <c r="N5" s="246"/>
      <c r="O5" s="210"/>
    </row>
    <row r="6" spans="1:15" s="223" customFormat="1" ht="29.25" customHeight="1" hidden="1">
      <c r="A6" s="379" t="s">
        <v>162</v>
      </c>
      <c r="B6" s="380"/>
      <c r="C6" s="252" t="e">
        <f>C7+C12+C13+#REF!+#REF!+#REF!+C15+#REF!+#REF!</f>
        <v>#REF!</v>
      </c>
      <c r="D6" s="252" t="e">
        <f>D7+D12+D13+#REF!+#REF!+#REF!+D15+#REF!+#REF!</f>
        <v>#REF!</v>
      </c>
      <c r="E6" s="252">
        <v>687587.95</v>
      </c>
      <c r="F6" s="252">
        <v>553570.98</v>
      </c>
      <c r="G6" s="242" t="e">
        <f>E6-F6+#REF!</f>
        <v>#REF!</v>
      </c>
      <c r="H6" s="252"/>
      <c r="I6" s="245"/>
      <c r="J6" s="245"/>
      <c r="K6" s="245">
        <f>H6-I6</f>
        <v>0</v>
      </c>
      <c r="L6" s="245">
        <f aca="true" t="shared" si="0" ref="L6:L13">F6+I6</f>
        <v>553570.98</v>
      </c>
      <c r="M6" s="245" t="e">
        <f>K6+G6</f>
        <v>#REF!</v>
      </c>
      <c r="N6" s="251">
        <f>E6+H6</f>
        <v>687587.95</v>
      </c>
      <c r="O6" s="219"/>
    </row>
    <row r="7" spans="1:15" s="223" customFormat="1" ht="35.25" customHeight="1">
      <c r="A7" s="296">
        <v>1</v>
      </c>
      <c r="B7" s="297" t="s">
        <v>164</v>
      </c>
      <c r="C7" s="298">
        <v>9.59</v>
      </c>
      <c r="D7" s="298">
        <v>10.39</v>
      </c>
      <c r="E7" s="283">
        <v>342109.56</v>
      </c>
      <c r="F7" s="283">
        <v>281630.56</v>
      </c>
      <c r="G7" s="284">
        <f aca="true" t="shared" si="1" ref="G7:G13">E7-F7</f>
        <v>60479</v>
      </c>
      <c r="H7" s="298">
        <v>29996.36</v>
      </c>
      <c r="I7" s="298">
        <v>9.59</v>
      </c>
      <c r="J7" s="298">
        <v>10.39</v>
      </c>
      <c r="K7" s="283">
        <v>31260.05</v>
      </c>
      <c r="L7" s="285">
        <f t="shared" si="0"/>
        <v>281640.15</v>
      </c>
      <c r="M7" s="285">
        <f aca="true" t="shared" si="2" ref="M7:M13">H7+K7</f>
        <v>61256.41</v>
      </c>
      <c r="N7" s="286"/>
      <c r="O7" s="219"/>
    </row>
    <row r="8" spans="1:18" s="223" customFormat="1" ht="69" customHeight="1">
      <c r="A8" s="299" t="s">
        <v>193</v>
      </c>
      <c r="B8" s="300" t="s">
        <v>197</v>
      </c>
      <c r="C8" s="301">
        <v>1.18</v>
      </c>
      <c r="D8" s="301">
        <v>2.29</v>
      </c>
      <c r="E8" s="283">
        <f>(C8+D8)/2*E7/((C7+D7)/2)</f>
        <v>59415.42408408407</v>
      </c>
      <c r="F8" s="283">
        <f>(C8+D8)/2*F7/((C7+D7)/2)</f>
        <v>48911.81397397397</v>
      </c>
      <c r="G8" s="284">
        <f t="shared" si="1"/>
        <v>10503.610110110101</v>
      </c>
      <c r="H8" s="298">
        <v>8227.16</v>
      </c>
      <c r="I8" s="301">
        <v>1.18</v>
      </c>
      <c r="J8" s="301">
        <v>2.29</v>
      </c>
      <c r="K8" s="283">
        <v>8997.78</v>
      </c>
      <c r="L8" s="285">
        <f t="shared" si="0"/>
        <v>48912.99397397397</v>
      </c>
      <c r="M8" s="285">
        <f t="shared" si="2"/>
        <v>17224.940000000002</v>
      </c>
      <c r="N8" s="286"/>
      <c r="O8" s="221"/>
      <c r="P8" s="254">
        <f>E10+H10</f>
        <v>2631229.7781381384</v>
      </c>
      <c r="R8" s="253"/>
    </row>
    <row r="9" spans="1:15" s="223" customFormat="1" ht="42" customHeight="1">
      <c r="A9" s="302" t="s">
        <v>194</v>
      </c>
      <c r="B9" s="300" t="s">
        <v>165</v>
      </c>
      <c r="C9" s="303">
        <v>1.45</v>
      </c>
      <c r="D9" s="304">
        <v>1.68</v>
      </c>
      <c r="E9" s="283">
        <f>(C9+D9)/2*E7/((C7+D7)/2)</f>
        <v>53593.73987987988</v>
      </c>
      <c r="F9" s="283">
        <f>(C9+D9)/2*F7/((C7+D7)/2)</f>
        <v>44119.301941941936</v>
      </c>
      <c r="G9" s="284">
        <f t="shared" si="1"/>
        <v>9474.437937937946</v>
      </c>
      <c r="H9" s="298">
        <v>16967.03</v>
      </c>
      <c r="I9" s="303">
        <v>1.45</v>
      </c>
      <c r="J9" s="304">
        <v>1.68</v>
      </c>
      <c r="K9" s="283">
        <v>19252.6</v>
      </c>
      <c r="L9" s="285">
        <f t="shared" si="0"/>
        <v>44120.75194194193</v>
      </c>
      <c r="M9" s="285">
        <f t="shared" si="2"/>
        <v>36219.63</v>
      </c>
      <c r="N9" s="286"/>
      <c r="O9" s="221"/>
    </row>
    <row r="10" spans="1:16" s="223" customFormat="1" ht="69" customHeight="1">
      <c r="A10" s="302" t="s">
        <v>195</v>
      </c>
      <c r="B10" s="305" t="s">
        <v>167</v>
      </c>
      <c r="C10" s="304">
        <v>1.41</v>
      </c>
      <c r="D10" s="304">
        <v>152</v>
      </c>
      <c r="E10" s="283">
        <f>(C10+D10)/2*E7/((C7+D7)/2)</f>
        <v>2626778.1581381382</v>
      </c>
      <c r="F10" s="283">
        <f>(C10+D10)/2*F7/((C7+D7)/2)</f>
        <v>2162409.6201001</v>
      </c>
      <c r="G10" s="284">
        <f t="shared" si="1"/>
        <v>464368.5380380382</v>
      </c>
      <c r="H10" s="298">
        <v>4451.62</v>
      </c>
      <c r="I10" s="304">
        <v>1.41</v>
      </c>
      <c r="J10" s="304">
        <v>152</v>
      </c>
      <c r="K10" s="283">
        <v>6451</v>
      </c>
      <c r="L10" s="285">
        <f t="shared" si="0"/>
        <v>2162411.0301001</v>
      </c>
      <c r="M10" s="285">
        <f t="shared" si="2"/>
        <v>10902.619999999999</v>
      </c>
      <c r="N10" s="286"/>
      <c r="O10" s="221"/>
      <c r="P10" s="223">
        <v>88000</v>
      </c>
    </row>
    <row r="11" spans="1:16" s="223" customFormat="1" ht="42" customHeight="1">
      <c r="A11" s="302" t="s">
        <v>196</v>
      </c>
      <c r="B11" s="305" t="s">
        <v>198</v>
      </c>
      <c r="C11" s="304">
        <v>0.34</v>
      </c>
      <c r="D11" s="304">
        <v>0.34</v>
      </c>
      <c r="E11" s="287">
        <f>(C11+D11)/2*E7/((C7+D7)/2)</f>
        <v>11643.368408408409</v>
      </c>
      <c r="F11" s="283">
        <f>(C11+D11)/2*F7/((C7+D7)/2)</f>
        <v>9585.024064064064</v>
      </c>
      <c r="G11" s="284">
        <f t="shared" si="1"/>
        <v>2058.344344344345</v>
      </c>
      <c r="H11" s="298">
        <v>873.99</v>
      </c>
      <c r="I11" s="304">
        <v>0.34</v>
      </c>
      <c r="J11" s="304">
        <v>0.34</v>
      </c>
      <c r="K11" s="283">
        <v>0</v>
      </c>
      <c r="L11" s="285">
        <f t="shared" si="0"/>
        <v>9585.364064064064</v>
      </c>
      <c r="M11" s="285">
        <f t="shared" si="2"/>
        <v>873.99</v>
      </c>
      <c r="N11" s="286"/>
      <c r="O11" s="221"/>
      <c r="P11" s="254">
        <f>P8-P10</f>
        <v>2543229.7781381384</v>
      </c>
    </row>
    <row r="12" spans="1:15" s="223" customFormat="1" ht="44.25" customHeight="1" thickBot="1">
      <c r="A12" s="306">
        <v>6</v>
      </c>
      <c r="B12" s="300" t="s">
        <v>168</v>
      </c>
      <c r="C12" s="307">
        <v>0.56</v>
      </c>
      <c r="D12" s="307">
        <v>0.65</v>
      </c>
      <c r="E12" s="288">
        <v>3974.72</v>
      </c>
      <c r="F12" s="288">
        <v>3843.52</v>
      </c>
      <c r="G12" s="284">
        <f t="shared" si="1"/>
        <v>131.19999999999982</v>
      </c>
      <c r="H12" s="307">
        <v>1902.34</v>
      </c>
      <c r="I12" s="307">
        <v>0.56</v>
      </c>
      <c r="J12" s="307">
        <v>0.65</v>
      </c>
      <c r="K12" s="284">
        <v>0</v>
      </c>
      <c r="L12" s="284">
        <f t="shared" si="0"/>
        <v>3844.08</v>
      </c>
      <c r="M12" s="284">
        <f t="shared" si="2"/>
        <v>1902.34</v>
      </c>
      <c r="N12" s="289"/>
      <c r="O12" s="224">
        <f>N12-F12</f>
        <v>-3843.52</v>
      </c>
    </row>
    <row r="13" spans="1:15" s="223" customFormat="1" ht="18" customHeight="1">
      <c r="A13" s="381">
        <v>7</v>
      </c>
      <c r="B13" s="383" t="s">
        <v>199</v>
      </c>
      <c r="C13" s="385">
        <v>0.59</v>
      </c>
      <c r="D13" s="385">
        <v>0.62</v>
      </c>
      <c r="E13" s="392">
        <v>144225.24</v>
      </c>
      <c r="F13" s="392">
        <v>119235.48</v>
      </c>
      <c r="G13" s="393">
        <f t="shared" si="1"/>
        <v>24989.759999999995</v>
      </c>
      <c r="H13" s="385">
        <v>1619.94</v>
      </c>
      <c r="I13" s="385">
        <v>0.59</v>
      </c>
      <c r="J13" s="385">
        <v>0.62</v>
      </c>
      <c r="K13" s="387">
        <v>2049.13</v>
      </c>
      <c r="L13" s="387">
        <f t="shared" si="0"/>
        <v>119236.06999999999</v>
      </c>
      <c r="M13" s="387">
        <f t="shared" si="2"/>
        <v>3669.07</v>
      </c>
      <c r="N13" s="376"/>
      <c r="O13" s="220"/>
    </row>
    <row r="14" spans="1:15" s="223" customFormat="1" ht="20.25" customHeight="1" thickBot="1">
      <c r="A14" s="382"/>
      <c r="B14" s="384"/>
      <c r="C14" s="386"/>
      <c r="D14" s="386"/>
      <c r="E14" s="392"/>
      <c r="F14" s="392"/>
      <c r="G14" s="393"/>
      <c r="H14" s="386"/>
      <c r="I14" s="386"/>
      <c r="J14" s="386"/>
      <c r="K14" s="388"/>
      <c r="L14" s="388"/>
      <c r="M14" s="388"/>
      <c r="N14" s="377"/>
      <c r="O14" s="210">
        <f>N14-F13</f>
        <v>-119235.48</v>
      </c>
    </row>
    <row r="15" spans="1:15" s="223" customFormat="1" ht="30.75" customHeight="1" thickBot="1">
      <c r="A15" s="306">
        <v>8</v>
      </c>
      <c r="B15" s="308" t="s">
        <v>169</v>
      </c>
      <c r="C15" s="307">
        <v>3.24</v>
      </c>
      <c r="D15" s="307">
        <v>3.24</v>
      </c>
      <c r="E15" s="288">
        <v>15898.8</v>
      </c>
      <c r="F15" s="288">
        <v>13066.96</v>
      </c>
      <c r="G15" s="284">
        <f>E15-F15</f>
        <v>2831.84</v>
      </c>
      <c r="H15" s="307">
        <v>10498.57</v>
      </c>
      <c r="I15" s="307">
        <v>3.24</v>
      </c>
      <c r="J15" s="307">
        <v>3.24</v>
      </c>
      <c r="K15" s="284">
        <v>0</v>
      </c>
      <c r="L15" s="284">
        <f>F15+I15</f>
        <v>13070.199999999999</v>
      </c>
      <c r="M15" s="284">
        <f>H15+K15</f>
        <v>10498.57</v>
      </c>
      <c r="N15" s="289"/>
      <c r="O15" s="209">
        <f>N15-F15</f>
        <v>-13066.96</v>
      </c>
    </row>
    <row r="16" spans="1:15" s="223" customFormat="1" ht="18" customHeight="1" thickBot="1">
      <c r="A16" s="309"/>
      <c r="B16" s="309" t="s">
        <v>171</v>
      </c>
      <c r="C16" s="310" t="s">
        <v>172</v>
      </c>
      <c r="D16" s="310" t="s">
        <v>172</v>
      </c>
      <c r="E16" s="273">
        <f>SUM(E12:E15)+E7</f>
        <v>506208.31999999995</v>
      </c>
      <c r="F16" s="273">
        <f>SUM(F12:F15)+F7</f>
        <v>417776.52</v>
      </c>
      <c r="G16" s="273">
        <f>SUM(G12:G15)+G7</f>
        <v>88431.79999999999</v>
      </c>
      <c r="H16" s="271">
        <f>SUM(H7:H15)</f>
        <v>74537.01000000001</v>
      </c>
      <c r="I16" s="272" t="s">
        <v>172</v>
      </c>
      <c r="J16" s="272" t="s">
        <v>172</v>
      </c>
      <c r="K16" s="273">
        <f>SUM(K7:K15)</f>
        <v>68010.56</v>
      </c>
      <c r="L16" s="273">
        <f>SUM(L12:L15)+L7</f>
        <v>417790.5</v>
      </c>
      <c r="M16" s="273">
        <f>SUM(M12:M15)+M7</f>
        <v>77326.39</v>
      </c>
      <c r="N16" s="275"/>
      <c r="O16" s="213">
        <f>SUM(O12:O15)+O7</f>
        <v>-136145.96</v>
      </c>
    </row>
    <row r="17" spans="1:16" s="223" customFormat="1" ht="18" customHeight="1">
      <c r="A17" s="306">
        <v>9</v>
      </c>
      <c r="B17" s="311" t="s">
        <v>173</v>
      </c>
      <c r="C17" s="307">
        <v>23.13</v>
      </c>
      <c r="D17" s="307">
        <v>25.44</v>
      </c>
      <c r="E17" s="274">
        <v>0</v>
      </c>
      <c r="F17" s="274">
        <v>0</v>
      </c>
      <c r="G17" s="277">
        <f>E17-F17</f>
        <v>0</v>
      </c>
      <c r="H17" s="295">
        <v>10411.76</v>
      </c>
      <c r="I17" s="307">
        <v>23.13</v>
      </c>
      <c r="J17" s="307">
        <v>25.44</v>
      </c>
      <c r="K17" s="290">
        <v>30036.89</v>
      </c>
      <c r="L17" s="290">
        <f>F17+I17</f>
        <v>23.13</v>
      </c>
      <c r="M17" s="290">
        <f>H17+K17</f>
        <v>40448.65</v>
      </c>
      <c r="N17" s="275"/>
      <c r="O17" s="220">
        <f>N17-F17</f>
        <v>0</v>
      </c>
      <c r="P17" s="225"/>
    </row>
    <row r="18" spans="1:15" s="223" customFormat="1" ht="18" customHeight="1">
      <c r="A18" s="306">
        <v>10</v>
      </c>
      <c r="B18" s="311" t="s">
        <v>175</v>
      </c>
      <c r="C18" s="307">
        <v>21.03</v>
      </c>
      <c r="D18" s="307">
        <v>25.44</v>
      </c>
      <c r="E18" s="274">
        <v>0</v>
      </c>
      <c r="F18" s="274">
        <v>0</v>
      </c>
      <c r="G18" s="277">
        <f>E18-F18</f>
        <v>0</v>
      </c>
      <c r="H18" s="295">
        <v>9910.42</v>
      </c>
      <c r="I18" s="307">
        <v>21.03</v>
      </c>
      <c r="J18" s="307">
        <v>25.44</v>
      </c>
      <c r="K18" s="290">
        <v>28150.59</v>
      </c>
      <c r="L18" s="290">
        <f>F18+I18</f>
        <v>21.03</v>
      </c>
      <c r="M18" s="290">
        <f>H18+K18</f>
        <v>38061.01</v>
      </c>
      <c r="N18" s="275"/>
      <c r="O18" s="210">
        <f>N18-F18</f>
        <v>0</v>
      </c>
    </row>
    <row r="19" spans="1:15" s="223" customFormat="1" ht="22.5" customHeight="1">
      <c r="A19" s="306">
        <v>11</v>
      </c>
      <c r="B19" s="312" t="s">
        <v>176</v>
      </c>
      <c r="C19" s="307" t="s">
        <v>201</v>
      </c>
      <c r="D19" s="307" t="s">
        <v>202</v>
      </c>
      <c r="E19" s="274">
        <v>0</v>
      </c>
      <c r="F19" s="274">
        <v>0</v>
      </c>
      <c r="G19" s="273">
        <f>E19-F19</f>
        <v>0</v>
      </c>
      <c r="H19" s="295">
        <v>2754.95</v>
      </c>
      <c r="I19" s="307" t="s">
        <v>201</v>
      </c>
      <c r="J19" s="307" t="s">
        <v>202</v>
      </c>
      <c r="K19" s="284">
        <v>2848.1</v>
      </c>
      <c r="L19" s="284" t="e">
        <f>F19+I19</f>
        <v>#VALUE!</v>
      </c>
      <c r="M19" s="284">
        <f>H19+K19</f>
        <v>5603.049999999999</v>
      </c>
      <c r="N19" s="275"/>
      <c r="O19" s="220">
        <f>N19-F19</f>
        <v>0</v>
      </c>
    </row>
    <row r="20" spans="1:15" s="223" customFormat="1" ht="22.5" customHeight="1">
      <c r="A20" s="306">
        <v>12</v>
      </c>
      <c r="B20" s="312" t="s">
        <v>178</v>
      </c>
      <c r="C20" s="307">
        <v>1541.78</v>
      </c>
      <c r="D20" s="307">
        <v>1621.95</v>
      </c>
      <c r="E20" s="274"/>
      <c r="F20" s="274"/>
      <c r="G20" s="273"/>
      <c r="H20" s="295">
        <v>137733.15</v>
      </c>
      <c r="I20" s="307">
        <v>1541.78</v>
      </c>
      <c r="J20" s="307">
        <v>1621.95</v>
      </c>
      <c r="K20" s="284">
        <v>112233.56</v>
      </c>
      <c r="L20" s="284"/>
      <c r="M20" s="284">
        <f>H20+K20</f>
        <v>249966.71</v>
      </c>
      <c r="N20" s="275"/>
      <c r="O20" s="221"/>
    </row>
    <row r="21" spans="1:15" s="223" customFormat="1" ht="18" customHeight="1" thickBot="1">
      <c r="A21" s="276"/>
      <c r="B21" s="276" t="s">
        <v>180</v>
      </c>
      <c r="C21" s="273" t="s">
        <v>128</v>
      </c>
      <c r="D21" s="273" t="s">
        <v>128</v>
      </c>
      <c r="E21" s="273">
        <f aca="true" t="shared" si="3" ref="E21:L21">SUM(E17:E19)</f>
        <v>0</v>
      </c>
      <c r="F21" s="273">
        <f t="shared" si="3"/>
        <v>0</v>
      </c>
      <c r="G21" s="273">
        <f t="shared" si="3"/>
        <v>0</v>
      </c>
      <c r="H21" s="313">
        <f>SUM(H17:H20)</f>
        <v>160810.28</v>
      </c>
      <c r="I21" s="270"/>
      <c r="J21" s="270"/>
      <c r="K21" s="273">
        <f>SUM(K17:K20)</f>
        <v>173269.13999999998</v>
      </c>
      <c r="L21" s="284" t="e">
        <f t="shared" si="3"/>
        <v>#VALUE!</v>
      </c>
      <c r="M21" s="273">
        <f>SUM(M17:M20)</f>
        <v>334079.42</v>
      </c>
      <c r="N21" s="278"/>
      <c r="O21" s="210"/>
    </row>
    <row r="22" spans="1:15" s="223" customFormat="1" ht="18" customHeight="1" thickBot="1">
      <c r="A22" s="276"/>
      <c r="B22" s="276" t="s">
        <v>127</v>
      </c>
      <c r="C22" s="273" t="s">
        <v>128</v>
      </c>
      <c r="D22" s="273" t="s">
        <v>128</v>
      </c>
      <c r="E22" s="273">
        <f>E16+E21</f>
        <v>506208.31999999995</v>
      </c>
      <c r="F22" s="273">
        <f>F16+F21</f>
        <v>417776.52</v>
      </c>
      <c r="G22" s="273">
        <f>G16+G21</f>
        <v>88431.79999999999</v>
      </c>
      <c r="H22" s="271">
        <f>H16+H21</f>
        <v>235347.29</v>
      </c>
      <c r="I22" s="273"/>
      <c r="J22" s="273"/>
      <c r="K22" s="273">
        <f>K16+K21</f>
        <v>241279.69999999998</v>
      </c>
      <c r="L22" s="273" t="e">
        <f>L16+L21</f>
        <v>#VALUE!</v>
      </c>
      <c r="M22" s="273">
        <f>M16+M21</f>
        <v>411405.81</v>
      </c>
      <c r="N22" s="278"/>
      <c r="O22" s="227">
        <f>SUM(O16:O21)</f>
        <v>-136145.96</v>
      </c>
    </row>
    <row r="23" spans="1:15" s="192" customFormat="1" ht="12.75" customHeight="1" hidden="1">
      <c r="A23" s="389" t="s">
        <v>181</v>
      </c>
      <c r="B23" s="389"/>
      <c r="C23" s="389"/>
      <c r="D23" s="389"/>
      <c r="E23" s="389"/>
      <c r="F23" s="389"/>
      <c r="G23" s="389"/>
      <c r="H23" s="228"/>
      <c r="I23" s="391">
        <v>186515.87</v>
      </c>
      <c r="J23" s="265"/>
      <c r="K23" s="229"/>
      <c r="L23" s="230"/>
      <c r="M23" s="230"/>
      <c r="N23" s="205"/>
      <c r="O23" s="211"/>
    </row>
    <row r="24" spans="1:15" s="192" customFormat="1" ht="12.75" customHeight="1" hidden="1">
      <c r="A24" s="390"/>
      <c r="B24" s="390"/>
      <c r="C24" s="390"/>
      <c r="D24" s="390"/>
      <c r="E24" s="390"/>
      <c r="F24" s="390"/>
      <c r="G24" s="390"/>
      <c r="H24" s="228"/>
      <c r="I24" s="391"/>
      <c r="J24" s="265"/>
      <c r="K24" s="229"/>
      <c r="L24" s="230"/>
      <c r="M24" s="230"/>
      <c r="N24" s="205"/>
      <c r="O24" s="211"/>
    </row>
    <row r="25" spans="1:7" ht="44.25" customHeight="1" hidden="1">
      <c r="A25" s="390"/>
      <c r="B25" s="390"/>
      <c r="C25" s="390"/>
      <c r="D25" s="390"/>
      <c r="E25" s="390"/>
      <c r="F25" s="390"/>
      <c r="G25" s="390"/>
    </row>
    <row r="26" ht="12.75">
      <c r="B26" s="195"/>
    </row>
    <row r="30" ht="12.75">
      <c r="K30" s="235"/>
    </row>
  </sheetData>
  <sheetProtection/>
  <mergeCells count="18">
    <mergeCell ref="A23:G25"/>
    <mergeCell ref="I23:I24"/>
    <mergeCell ref="L13:L14"/>
    <mergeCell ref="M13:M14"/>
    <mergeCell ref="E13:E14"/>
    <mergeCell ref="F13:F14"/>
    <mergeCell ref="G13:G14"/>
    <mergeCell ref="H13:H14"/>
    <mergeCell ref="J13:J14"/>
    <mergeCell ref="N13:N14"/>
    <mergeCell ref="B1:N1"/>
    <mergeCell ref="A6:B6"/>
    <mergeCell ref="A13:A14"/>
    <mergeCell ref="B13:B14"/>
    <mergeCell ref="C13:C14"/>
    <mergeCell ref="D13:D14"/>
    <mergeCell ref="I13:I14"/>
    <mergeCell ref="K13:K14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7.625" style="0" customWidth="1"/>
    <col min="2" max="2" width="52.375" style="0" customWidth="1"/>
    <col min="3" max="3" width="22.125" style="0" customWidth="1"/>
    <col min="4" max="4" width="17.125" style="0" hidden="1" customWidth="1"/>
    <col min="5" max="5" width="18.625" style="0" customWidth="1"/>
    <col min="8" max="8" width="43.625" style="0" customWidth="1"/>
  </cols>
  <sheetData>
    <row r="1" spans="1:4" ht="20.25">
      <c r="A1" s="398" t="s">
        <v>182</v>
      </c>
      <c r="B1" s="398"/>
      <c r="C1" s="398"/>
      <c r="D1" s="398"/>
    </row>
    <row r="2" spans="1:5" ht="63" customHeight="1">
      <c r="A2" s="248" t="s">
        <v>183</v>
      </c>
      <c r="B2" s="249" t="s">
        <v>184</v>
      </c>
      <c r="C2" s="248" t="s">
        <v>185</v>
      </c>
      <c r="D2" s="248" t="s">
        <v>186</v>
      </c>
      <c r="E2" s="294" t="s">
        <v>205</v>
      </c>
    </row>
    <row r="3" spans="1:5" ht="18.75" customHeight="1">
      <c r="A3" s="248">
        <v>1</v>
      </c>
      <c r="B3" s="257" t="s">
        <v>164</v>
      </c>
      <c r="C3" s="256">
        <v>9.59</v>
      </c>
      <c r="D3" s="256">
        <v>10.39</v>
      </c>
      <c r="E3" s="256">
        <v>10.39</v>
      </c>
    </row>
    <row r="4" spans="1:8" ht="108" customHeight="1">
      <c r="A4" s="248">
        <v>2</v>
      </c>
      <c r="B4" s="258" t="s">
        <v>197</v>
      </c>
      <c r="C4" s="259">
        <v>1.18</v>
      </c>
      <c r="D4" s="259">
        <v>2.29</v>
      </c>
      <c r="E4" s="259">
        <v>2.29</v>
      </c>
      <c r="H4" s="250"/>
    </row>
    <row r="5" spans="1:8" ht="108" customHeight="1">
      <c r="A5" s="248">
        <v>3</v>
      </c>
      <c r="B5" s="258" t="s">
        <v>165</v>
      </c>
      <c r="C5" s="269">
        <v>1.45</v>
      </c>
      <c r="D5" s="260">
        <v>1.68</v>
      </c>
      <c r="E5" s="260">
        <v>1.68</v>
      </c>
      <c r="H5" s="250"/>
    </row>
    <row r="6" spans="1:8" ht="24" customHeight="1">
      <c r="A6" s="248">
        <v>4</v>
      </c>
      <c r="B6" s="261" t="s">
        <v>167</v>
      </c>
      <c r="C6" s="260">
        <v>1.41</v>
      </c>
      <c r="D6" s="260">
        <v>152</v>
      </c>
      <c r="E6" s="260">
        <v>1.52</v>
      </c>
      <c r="H6" s="250"/>
    </row>
    <row r="7" spans="1:8" ht="49.5" customHeight="1">
      <c r="A7" s="292">
        <v>5</v>
      </c>
      <c r="B7" s="261" t="s">
        <v>198</v>
      </c>
      <c r="C7" s="260">
        <v>0.34</v>
      </c>
      <c r="D7" s="260">
        <v>0.34</v>
      </c>
      <c r="E7" s="260">
        <v>0.34</v>
      </c>
      <c r="H7" s="250"/>
    </row>
    <row r="8" spans="1:8" ht="52.5" customHeight="1">
      <c r="A8" s="248">
        <v>6</v>
      </c>
      <c r="B8" s="258" t="s">
        <v>168</v>
      </c>
      <c r="C8" s="262">
        <v>0.56</v>
      </c>
      <c r="D8" s="262">
        <v>0.65</v>
      </c>
      <c r="E8" s="262">
        <v>0.65</v>
      </c>
      <c r="H8" s="250"/>
    </row>
    <row r="9" spans="1:8" ht="32.25" customHeight="1">
      <c r="A9" s="394">
        <v>7</v>
      </c>
      <c r="B9" s="399" t="s">
        <v>199</v>
      </c>
      <c r="C9" s="396">
        <v>0.59</v>
      </c>
      <c r="D9" s="396">
        <v>0.62</v>
      </c>
      <c r="E9" s="396">
        <v>0.62</v>
      </c>
      <c r="H9" s="250"/>
    </row>
    <row r="10" spans="1:8" ht="27" customHeight="1">
      <c r="A10" s="395"/>
      <c r="B10" s="400"/>
      <c r="C10" s="397"/>
      <c r="D10" s="397"/>
      <c r="E10" s="397"/>
      <c r="H10" s="250"/>
    </row>
    <row r="11" spans="1:8" ht="36" customHeight="1">
      <c r="A11" s="248">
        <v>8</v>
      </c>
      <c r="B11" s="263" t="s">
        <v>169</v>
      </c>
      <c r="C11" s="262">
        <v>3.24</v>
      </c>
      <c r="D11" s="262">
        <v>3.24</v>
      </c>
      <c r="E11" s="262">
        <v>3.24</v>
      </c>
      <c r="H11" s="250"/>
    </row>
    <row r="12" spans="1:8" ht="30" customHeight="1">
      <c r="A12" s="248">
        <v>9</v>
      </c>
      <c r="B12" s="263" t="s">
        <v>200</v>
      </c>
      <c r="C12" s="262">
        <v>0.34</v>
      </c>
      <c r="D12" s="262">
        <v>0.34</v>
      </c>
      <c r="E12" s="262">
        <v>0.34</v>
      </c>
      <c r="H12" s="250"/>
    </row>
    <row r="13" spans="1:8" ht="30" customHeight="1">
      <c r="A13" s="248"/>
      <c r="B13" s="293" t="s">
        <v>203</v>
      </c>
      <c r="C13" s="262"/>
      <c r="D13" s="262"/>
      <c r="E13" s="262"/>
      <c r="H13" s="250"/>
    </row>
    <row r="14" spans="1:5" ht="20.25">
      <c r="A14" s="248">
        <v>1</v>
      </c>
      <c r="B14" s="255" t="s">
        <v>173</v>
      </c>
      <c r="C14" s="262">
        <v>23.13</v>
      </c>
      <c r="D14" s="262">
        <v>25.44</v>
      </c>
      <c r="E14" s="262">
        <v>25.44</v>
      </c>
    </row>
    <row r="15" spans="1:5" ht="20.25">
      <c r="A15" s="248">
        <v>2</v>
      </c>
      <c r="B15" s="255" t="s">
        <v>175</v>
      </c>
      <c r="C15" s="262">
        <v>21.03</v>
      </c>
      <c r="D15" s="262">
        <v>25.44</v>
      </c>
      <c r="E15" s="262">
        <v>25.44</v>
      </c>
    </row>
    <row r="16" spans="1:5" ht="20.25">
      <c r="A16" s="248">
        <v>3</v>
      </c>
      <c r="B16" s="264" t="s">
        <v>176</v>
      </c>
      <c r="C16" s="262" t="s">
        <v>201</v>
      </c>
      <c r="D16" s="262" t="s">
        <v>202</v>
      </c>
      <c r="E16" s="262" t="s">
        <v>202</v>
      </c>
    </row>
    <row r="17" spans="1:5" ht="20.25">
      <c r="A17" s="248">
        <v>4</v>
      </c>
      <c r="B17" s="264" t="s">
        <v>178</v>
      </c>
      <c r="C17" s="262">
        <v>1541.78</v>
      </c>
      <c r="D17" s="262">
        <v>1621.95</v>
      </c>
      <c r="E17" s="262">
        <v>1621.95</v>
      </c>
    </row>
  </sheetData>
  <sheetProtection/>
  <mergeCells count="6">
    <mergeCell ref="A9:A10"/>
    <mergeCell ref="E9:E10"/>
    <mergeCell ref="A1:D1"/>
    <mergeCell ref="B9:B10"/>
    <mergeCell ref="C9:C10"/>
    <mergeCell ref="D9:D10"/>
  </mergeCells>
  <printOptions/>
  <pageMargins left="1" right="1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2017-04-10T14:33:02Z</cp:lastPrinted>
  <dcterms:modified xsi:type="dcterms:W3CDTF">2017-04-10T14:43:04Z</dcterms:modified>
  <cp:category/>
  <cp:version/>
  <cp:contentType/>
  <cp:contentStatus/>
</cp:coreProperties>
</file>