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РАБОТА\Раскрытие информации\Сметы доходов и расходов\"/>
    </mc:Choice>
  </mc:AlternateContent>
  <bookViews>
    <workbookView xWindow="-15" yWindow="4230" windowWidth="15600" windowHeight="3675" firstSheet="3" activeTab="3"/>
  </bookViews>
  <sheets>
    <sheet name="Лист1" sheetId="1" state="hidden" r:id="rId1"/>
    <sheet name="титул" sheetId="4" r:id="rId2"/>
    <sheet name="2009" sheetId="3" state="hidden" r:id="rId3"/>
    <sheet name="О поступлении денежных средств" sheetId="7" r:id="rId4"/>
    <sheet name="Справка о тарифах" sheetId="12" r:id="rId5"/>
    <sheet name="Лист5" sheetId="10" state="hidden" r:id="rId6"/>
    <sheet name="задолжность" sheetId="13" r:id="rId7"/>
  </sheets>
  <definedNames>
    <definedName name="_xlnm.Print_Area" localSheetId="3">'О поступлении денежных средств'!$A$1:$I$26</definedName>
  </definedNames>
  <calcPr calcId="152511"/>
</workbook>
</file>

<file path=xl/calcChain.xml><?xml version="1.0" encoding="utf-8"?>
<calcChain xmlns="http://schemas.openxmlformats.org/spreadsheetml/2006/main">
  <c r="D10" i="13" l="1"/>
  <c r="I25" i="7"/>
  <c r="C10" i="13"/>
  <c r="G15" i="7"/>
  <c r="G13" i="7"/>
  <c r="G23" i="7"/>
  <c r="G22" i="7"/>
  <c r="G21" i="7"/>
  <c r="G19" i="7"/>
  <c r="G18" i="7"/>
  <c r="G12" i="7"/>
  <c r="G10" i="7"/>
  <c r="G9" i="7"/>
  <c r="G8" i="7"/>
  <c r="G7" i="7"/>
  <c r="F25" i="7"/>
  <c r="E25" i="7"/>
  <c r="F17" i="7"/>
  <c r="F26" i="7" s="1"/>
  <c r="E17" i="7"/>
  <c r="E26" i="7" s="1"/>
  <c r="F51" i="3"/>
  <c r="D44" i="3"/>
  <c r="F44" i="3"/>
  <c r="F50" i="3" s="1"/>
  <c r="D46" i="3"/>
  <c r="F46" i="3"/>
  <c r="D48" i="3"/>
  <c r="F48" i="3"/>
  <c r="D49" i="3"/>
  <c r="F49" i="3"/>
  <c r="D50" i="3"/>
  <c r="H9" i="3"/>
  <c r="G9" i="3" s="1"/>
  <c r="I9" i="3"/>
  <c r="J9" i="3"/>
  <c r="K9" i="3"/>
  <c r="K20" i="3" s="1"/>
  <c r="K28" i="3" s="1"/>
  <c r="M9" i="3"/>
  <c r="N9" i="3"/>
  <c r="N20" i="3" s="1"/>
  <c r="H11" i="3"/>
  <c r="I11" i="3"/>
  <c r="G11" i="3" s="1"/>
  <c r="S11" i="3" s="1"/>
  <c r="J11" i="3"/>
  <c r="K11" i="3"/>
  <c r="M11" i="3"/>
  <c r="L11" i="3"/>
  <c r="R12" i="3"/>
  <c r="H13" i="3"/>
  <c r="I13" i="3"/>
  <c r="J13" i="3"/>
  <c r="J20" i="3" s="1"/>
  <c r="J28" i="3" s="1"/>
  <c r="K13" i="3"/>
  <c r="G13" i="3"/>
  <c r="S13" i="3" s="1"/>
  <c r="M13" i="3"/>
  <c r="L13" i="3"/>
  <c r="H14" i="3"/>
  <c r="I14" i="3"/>
  <c r="J14" i="3"/>
  <c r="G14" i="3" s="1"/>
  <c r="K14" i="3"/>
  <c r="M14" i="3"/>
  <c r="L14" i="3" s="1"/>
  <c r="H15" i="3"/>
  <c r="I15" i="3"/>
  <c r="J15" i="3"/>
  <c r="G15" i="3" s="1"/>
  <c r="K15" i="3"/>
  <c r="M15" i="3"/>
  <c r="L15" i="3" s="1"/>
  <c r="H16" i="3"/>
  <c r="G16" i="3" s="1"/>
  <c r="S16" i="3" s="1"/>
  <c r="I16" i="3"/>
  <c r="J16" i="3"/>
  <c r="K16" i="3"/>
  <c r="M16" i="3"/>
  <c r="L16" i="3"/>
  <c r="I17" i="3"/>
  <c r="J17" i="3"/>
  <c r="G17" i="3"/>
  <c r="K17" i="3"/>
  <c r="M17" i="3"/>
  <c r="L17" i="3" s="1"/>
  <c r="R17" i="3"/>
  <c r="H18" i="3"/>
  <c r="I18" i="3"/>
  <c r="G18" i="3" s="1"/>
  <c r="S18" i="3" s="1"/>
  <c r="J18" i="3"/>
  <c r="K18" i="3"/>
  <c r="M18" i="3"/>
  <c r="L18" i="3"/>
  <c r="H19" i="3"/>
  <c r="I19" i="3"/>
  <c r="G19" i="3" s="1"/>
  <c r="S19" i="3" s="1"/>
  <c r="J19" i="3"/>
  <c r="K19" i="3"/>
  <c r="M19" i="3"/>
  <c r="L19" i="3"/>
  <c r="H21" i="3"/>
  <c r="I21" i="3"/>
  <c r="G21" i="3" s="1"/>
  <c r="J21" i="3"/>
  <c r="K21" i="3"/>
  <c r="M21" i="3"/>
  <c r="N21" i="3"/>
  <c r="L21" i="3" s="1"/>
  <c r="R21" i="3"/>
  <c r="H24" i="3"/>
  <c r="I24" i="3"/>
  <c r="G24" i="3" s="1"/>
  <c r="S24" i="3" s="1"/>
  <c r="J24" i="3"/>
  <c r="K24" i="3"/>
  <c r="H25" i="3"/>
  <c r="I25" i="3"/>
  <c r="J25" i="3"/>
  <c r="K25" i="3"/>
  <c r="G25" i="3"/>
  <c r="M24" i="3"/>
  <c r="N24" i="3"/>
  <c r="L24" i="3" s="1"/>
  <c r="M25" i="3"/>
  <c r="N25" i="3"/>
  <c r="L25" i="3" s="1"/>
  <c r="H26" i="3"/>
  <c r="I26" i="3"/>
  <c r="J26" i="3"/>
  <c r="G26" i="3" s="1"/>
  <c r="S26" i="3" s="1"/>
  <c r="K26" i="3"/>
  <c r="M26" i="3"/>
  <c r="N26" i="3"/>
  <c r="L26" i="3"/>
  <c r="S27" i="3"/>
  <c r="R28" i="3"/>
  <c r="F25" i="3"/>
  <c r="F10" i="3"/>
  <c r="F12" i="3"/>
  <c r="F13" i="3"/>
  <c r="F14" i="3"/>
  <c r="F15" i="3"/>
  <c r="F16" i="3"/>
  <c r="F20" i="3" s="1"/>
  <c r="F18" i="3"/>
  <c r="F19" i="3"/>
  <c r="G12" i="3"/>
  <c r="I20" i="3"/>
  <c r="I28" i="3" s="1"/>
  <c r="M20" i="3"/>
  <c r="M28" i="3" s="1"/>
  <c r="I17" i="7"/>
  <c r="G17" i="7" l="1"/>
  <c r="G25" i="7"/>
  <c r="I26" i="7"/>
  <c r="S17" i="3"/>
  <c r="S14" i="3"/>
  <c r="S21" i="3"/>
  <c r="S15" i="3"/>
  <c r="N28" i="3"/>
  <c r="L20" i="3"/>
  <c r="L28" i="3" s="1"/>
  <c r="L9" i="3"/>
  <c r="S9" i="3" s="1"/>
  <c r="S28" i="3" s="1"/>
  <c r="H20" i="3"/>
  <c r="G26" i="7" l="1"/>
  <c r="G20" i="3"/>
  <c r="G28" i="3" s="1"/>
  <c r="H28" i="3"/>
</calcChain>
</file>

<file path=xl/comments1.xml><?xml version="1.0" encoding="utf-8"?>
<comments xmlns="http://schemas.openxmlformats.org/spreadsheetml/2006/main">
  <authors>
    <author>Бух</author>
  </authors>
  <commentList>
    <comment ref="R10" authorId="0" shapeId="0">
      <text>
        <r>
          <rPr>
            <b/>
            <sz val="8"/>
            <color indexed="81"/>
            <rFont val="Tahoma"/>
            <family val="2"/>
            <charset val="204"/>
          </rPr>
          <t>Бух:</t>
        </r>
        <r>
          <rPr>
            <sz val="8"/>
            <color indexed="81"/>
            <rFont val="Tahoma"/>
            <family val="2"/>
            <charset val="204"/>
          </rPr>
          <t xml:space="preserve">
2095*4мес=8380
2280*8мес=18240
Всего:26620</t>
        </r>
      </text>
    </comment>
    <comment ref="R11" authorId="0" shapeId="0">
      <text>
        <r>
          <rPr>
            <b/>
            <sz val="8"/>
            <color indexed="81"/>
            <rFont val="Tahoma"/>
            <family val="2"/>
            <charset val="204"/>
          </rPr>
          <t>Бух:</t>
        </r>
        <r>
          <rPr>
            <sz val="8"/>
            <color indexed="81"/>
            <rFont val="Tahoma"/>
            <family val="2"/>
            <charset val="204"/>
          </rPr>
          <t xml:space="preserve">
30000 мелк.рем.кровли
31640 ремонт теплоцентра
5000 ящики(мат.3510)
3510
 ВСЕГО: 70150
Ир.Георг. Сказала уменьшить до 28000</t>
        </r>
      </text>
    </comment>
    <comment ref="R14" authorId="0" shapeId="0">
      <text>
        <r>
          <rPr>
            <b/>
            <sz val="8"/>
            <color indexed="81"/>
            <rFont val="Tahoma"/>
            <family val="2"/>
            <charset val="204"/>
          </rPr>
          <t>Бух:</t>
        </r>
        <r>
          <rPr>
            <sz val="8"/>
            <color indexed="81"/>
            <rFont val="Tahoma"/>
            <family val="2"/>
            <charset val="204"/>
          </rPr>
          <t xml:space="preserve">
2060,39*4мес=8241,56
2208,26*2мес=4416,52
Всего:12658,08</t>
        </r>
      </text>
    </comment>
  </commentList>
</comments>
</file>

<file path=xl/sharedStrings.xml><?xml version="1.0" encoding="utf-8"?>
<sst xmlns="http://schemas.openxmlformats.org/spreadsheetml/2006/main" count="352" uniqueCount="215">
  <si>
    <t>Радио</t>
  </si>
  <si>
    <t>Наименование  услуги</t>
  </si>
  <si>
    <t>Тариф</t>
  </si>
  <si>
    <t>в руб.</t>
  </si>
  <si>
    <t>Вид  начисления</t>
  </si>
  <si>
    <t>(кв.м., чел., кв-ра)</t>
  </si>
  <si>
    <t xml:space="preserve">                      ТАБЛИЦА  СТАВОК  И  УСЛУГ</t>
  </si>
  <si>
    <t>Содержание  придомовой  территории</t>
  </si>
  <si>
    <t>Очистка  мусоропроводов</t>
  </si>
  <si>
    <t>Уборка  лестничных  клеток</t>
  </si>
  <si>
    <t>Содержание  и ремонт ПЗУ</t>
  </si>
  <si>
    <t>с человека</t>
  </si>
  <si>
    <t>горячее водоснабжение</t>
  </si>
  <si>
    <t>Отопление</t>
  </si>
  <si>
    <t>Газ</t>
  </si>
  <si>
    <t>Телетрансляция</t>
  </si>
  <si>
    <t>с общей площади</t>
  </si>
  <si>
    <t>За банковское обслуживание</t>
  </si>
  <si>
    <t>с квартиры</t>
  </si>
  <si>
    <t>На содержание ТСЖ</t>
  </si>
  <si>
    <t>На  капитальный  ремонт  здания</t>
  </si>
  <si>
    <t>Услуги ВЦКП</t>
  </si>
  <si>
    <t>Содержание  общего  имущества</t>
  </si>
  <si>
    <t>многоквартирного  дома</t>
  </si>
  <si>
    <t>Текущий  ремонт общего имущества</t>
  </si>
  <si>
    <t>многоквартирных домов</t>
  </si>
  <si>
    <t>Вывоз  твердых бытовых отходов</t>
  </si>
  <si>
    <t>Техническое обслуживание   и  ремонт лифтов</t>
  </si>
  <si>
    <t>счетчики</t>
  </si>
  <si>
    <t>м3</t>
  </si>
  <si>
    <t xml:space="preserve">№ </t>
  </si>
  <si>
    <t>п/п</t>
  </si>
  <si>
    <t>м2</t>
  </si>
  <si>
    <t xml:space="preserve">Начисляется </t>
  </si>
  <si>
    <t>в месяц</t>
  </si>
  <si>
    <t>с общей площади*</t>
  </si>
  <si>
    <t>Количество квартир</t>
  </si>
  <si>
    <t>Проживает  (чел)</t>
  </si>
  <si>
    <t>Прописано (чел)</t>
  </si>
  <si>
    <t xml:space="preserve">отапливаемая площадь </t>
  </si>
  <si>
    <t>жилые помещ</t>
  </si>
  <si>
    <t>нежилые</t>
  </si>
  <si>
    <t xml:space="preserve">жилые и </t>
  </si>
  <si>
    <t>Холодное  водоснабжение и канализация</t>
  </si>
  <si>
    <t>ООО "УК "Петербургский Дом"</t>
  </si>
  <si>
    <t>Адрес:  С-Петербург, Дунайский пр. д.3.к.2</t>
  </si>
  <si>
    <t>Общая площадь дома  ( этажей)</t>
  </si>
  <si>
    <t>ООО "УК "Петербургский Дом"  ___________________  Васильева И.Х.</t>
  </si>
  <si>
    <t>Наименование ТСЖ  : Пулковский Меридиан</t>
  </si>
  <si>
    <t xml:space="preserve">поставщик </t>
  </si>
  <si>
    <t>услуги</t>
  </si>
  <si>
    <t>Санкт-Петербург,7-я Красноармейская д.18</t>
  </si>
  <si>
    <t>ТСЖ "7-я Красноармейская д.18</t>
  </si>
  <si>
    <t>м2                    2900</t>
  </si>
  <si>
    <t>Нежилые помещения</t>
  </si>
  <si>
    <t xml:space="preserve">                      с  01  сентября 2009 года по 31декабря 2009 года</t>
  </si>
  <si>
    <t>нет</t>
  </si>
  <si>
    <t>Управленческие расходы</t>
  </si>
  <si>
    <t>Общая площадь дома  (этажей)</t>
  </si>
  <si>
    <t xml:space="preserve">Начислено </t>
  </si>
  <si>
    <t>Поставщики</t>
  </si>
  <si>
    <t>№</t>
  </si>
  <si>
    <t>Услуги</t>
  </si>
  <si>
    <t>Разница</t>
  </si>
  <si>
    <t>услуг</t>
  </si>
  <si>
    <t>договора</t>
  </si>
  <si>
    <t>поставщиков</t>
  </si>
  <si>
    <t>по ведом.</t>
  </si>
  <si>
    <t>сентябрь</t>
  </si>
  <si>
    <t>октябрь</t>
  </si>
  <si>
    <t>ноябрь</t>
  </si>
  <si>
    <t>декабрь</t>
  </si>
  <si>
    <t>январь</t>
  </si>
  <si>
    <t>февраль</t>
  </si>
  <si>
    <t>по договорам</t>
  </si>
  <si>
    <t>ВЦКП</t>
  </si>
  <si>
    <t>УК "ПД"</t>
  </si>
  <si>
    <t>ИТОГО:</t>
  </si>
  <si>
    <t>Васильева И.Х.</t>
  </si>
  <si>
    <t>Содержание и ремонт лифтов</t>
  </si>
  <si>
    <t>ПЗУ</t>
  </si>
  <si>
    <t>Управление м\к домом</t>
  </si>
  <si>
    <t>ВСЕГО ао Жилищным услугам</t>
  </si>
  <si>
    <t>Электроснабжение МОП</t>
  </si>
  <si>
    <t>Холодное водоснабжение</t>
  </si>
  <si>
    <t>Канализование холодной воды</t>
  </si>
  <si>
    <t>Канализование горячей воды</t>
  </si>
  <si>
    <t>Горячее водоснабжение</t>
  </si>
  <si>
    <t>за куб.</t>
  </si>
  <si>
    <t>с 01.09.09</t>
  </si>
  <si>
    <t>с 01.01.10</t>
  </si>
  <si>
    <t xml:space="preserve">в 2009г </t>
  </si>
  <si>
    <t>с общей пл.</t>
  </si>
  <si>
    <t xml:space="preserve"> </t>
  </si>
  <si>
    <t>ТСЖ "7-я Рота"  ___________________  Семенова Т.А.</t>
  </si>
  <si>
    <t>Содержание и ремонт сист.газосн.</t>
  </si>
  <si>
    <t>Генеральный директор ООО "УК "Петербургский Дом"</t>
  </si>
  <si>
    <t>в 2010г.</t>
  </si>
  <si>
    <t>ООО"ПетербургГаз"</t>
  </si>
  <si>
    <t>от 01.09.2009</t>
  </si>
  <si>
    <t>от 01.01.2009</t>
  </si>
  <si>
    <t>ООО"ОТИС Лифт"</t>
  </si>
  <si>
    <t>ГУП "Водоканал СПб"</t>
  </si>
  <si>
    <t xml:space="preserve">07-68483/10-ЖК </t>
  </si>
  <si>
    <t>ОАО "ТГК №1"</t>
  </si>
  <si>
    <t>№7922</t>
  </si>
  <si>
    <t>ООО"Петербургрегионгаз"</t>
  </si>
  <si>
    <t>№1.ВД.00744</t>
  </si>
  <si>
    <t>№2166</t>
  </si>
  <si>
    <t xml:space="preserve">Услуги </t>
  </si>
  <si>
    <t>поставщика</t>
  </si>
  <si>
    <t>за период</t>
  </si>
  <si>
    <t>отчета</t>
  </si>
  <si>
    <t>1 парадная</t>
  </si>
  <si>
    <t>в стадии заключения</t>
  </si>
  <si>
    <t>накопленные средства</t>
  </si>
  <si>
    <t>за 1 чел.</t>
  </si>
  <si>
    <t>Проживает</t>
  </si>
  <si>
    <t>11.14/199.86</t>
  </si>
  <si>
    <t>13.15/235.90</t>
  </si>
  <si>
    <t>47.74/217.69</t>
  </si>
  <si>
    <t>55.86/254.72</t>
  </si>
  <si>
    <t>за куб./1 чел</t>
  </si>
  <si>
    <t>планово</t>
  </si>
  <si>
    <t>СМЕТА доходов и расходов с 01.09.09г. по 28.02.2010г.</t>
  </si>
  <si>
    <t>.</t>
  </si>
  <si>
    <t>без февраля</t>
  </si>
  <si>
    <t>ООО"Конфидент-Сервис"</t>
  </si>
  <si>
    <t>Расходы на текущий ремонт</t>
  </si>
  <si>
    <t xml:space="preserve">Очистка кровили </t>
  </si>
  <si>
    <t>Ремонт стояка ЦО парад. №1</t>
  </si>
  <si>
    <t>(по ванным комнатам)</t>
  </si>
  <si>
    <r>
      <t>Электроснабжение МОП</t>
    </r>
    <r>
      <rPr>
        <sz val="10"/>
        <rFont val="Arial Cyr"/>
        <charset val="204"/>
      </rPr>
      <t xml:space="preserve"> не начислялось.  ЖКС №1 выставлены счета с опозданием за период с 01.09.2009 по 31.01.2010 на сумму 70375.22</t>
    </r>
  </si>
  <si>
    <t>Счета включают</t>
  </si>
  <si>
    <t>эл.снабжение лифтов</t>
  </si>
  <si>
    <t>эл.снабжение теплоцентра</t>
  </si>
  <si>
    <t>освещение МОП</t>
  </si>
  <si>
    <t>столярная мастерская ЖКС №1</t>
  </si>
  <si>
    <t>подвальное помещение (сауна)</t>
  </si>
  <si>
    <t>спецподвал</t>
  </si>
  <si>
    <t>Нежилой фонд</t>
  </si>
  <si>
    <t>21.64/23.80</t>
  </si>
  <si>
    <t>9746.66/10719.52</t>
  </si>
  <si>
    <t xml:space="preserve">Общая площадь </t>
  </si>
  <si>
    <t>начислено за отчетный период</t>
  </si>
  <si>
    <r>
      <t>Наименование ТСЖ  :</t>
    </r>
    <r>
      <rPr>
        <b/>
        <u/>
        <sz val="9"/>
        <rFont val="Arial"/>
        <family val="2"/>
        <charset val="204"/>
      </rPr>
      <t xml:space="preserve"> "7 Рота"</t>
    </r>
  </si>
  <si>
    <r>
      <t>Адрес:</t>
    </r>
    <r>
      <rPr>
        <b/>
        <u val="singleAccounting"/>
        <sz val="9"/>
        <rFont val="Arial"/>
        <family val="2"/>
        <charset val="204"/>
      </rPr>
      <t xml:space="preserve"> 7 Красноармейская ул.д.18</t>
    </r>
  </si>
  <si>
    <t>ВСЕГО по Жилищным услугам</t>
  </si>
  <si>
    <t>Жилой фонд</t>
  </si>
  <si>
    <t>Поступления</t>
  </si>
  <si>
    <t>Начисления</t>
  </si>
  <si>
    <t>Задолженность</t>
  </si>
  <si>
    <t>руб.</t>
  </si>
  <si>
    <t>отчета, руб.</t>
  </si>
  <si>
    <t>УК "Петербургский дом"</t>
  </si>
  <si>
    <t>ВСЕГО по Коммунальным услугам</t>
  </si>
  <si>
    <t>с 01.01.2015</t>
  </si>
  <si>
    <t>с 01.07.2015</t>
  </si>
  <si>
    <t>Наименование услуги (работы)</t>
  </si>
  <si>
    <t>Общая</t>
  </si>
  <si>
    <t>Тарифы</t>
  </si>
  <si>
    <t>для населения</t>
  </si>
  <si>
    <t>коп./ м.кв.</t>
  </si>
  <si>
    <t>руб./ м.кв.</t>
  </si>
  <si>
    <t>руб.\ед. услуги</t>
  </si>
  <si>
    <t>Холодное водоснабжение, м.куб.</t>
  </si>
  <si>
    <t>Водоотведение, м. куб</t>
  </si>
  <si>
    <t>Электроснабжение МОП, кВт\ч</t>
  </si>
  <si>
    <t>Текущий  ремонт общего имущества многоквартирного дома</t>
  </si>
  <si>
    <t>Уборка и санитарная очистка земельного участка</t>
  </si>
  <si>
    <t>За 1 кв. м общей площади жилого помещения, руб. в месяц</t>
  </si>
  <si>
    <t>За 1 кв. м площади комнат в общежитиях, руб. в месяц</t>
  </si>
  <si>
    <t>N пп</t>
  </si>
  <si>
    <t>Справка о тарифах на  Коммунальные услуги</t>
  </si>
  <si>
    <t>Содержание  общего  имущества многоквартирного дома, в т.ч.</t>
  </si>
  <si>
    <t>Отопление руб. Гкал</t>
  </si>
  <si>
    <t>1541,78</t>
  </si>
  <si>
    <t>Горячее водоснабжение, м. куб.</t>
  </si>
  <si>
    <t xml:space="preserve">Газ, </t>
  </si>
  <si>
    <t>92,51</t>
  </si>
  <si>
    <t>5635,09</t>
  </si>
  <si>
    <t>ОАО "ТГК-1"</t>
  </si>
  <si>
    <t>ГУП "Водоканал Санкт-Петербурга"</t>
  </si>
  <si>
    <t>АО "ПСК"</t>
  </si>
  <si>
    <t>ООО "Отис лифт"</t>
  </si>
  <si>
    <t>2</t>
  </si>
  <si>
    <t>Упарвление МКД</t>
  </si>
  <si>
    <t>3</t>
  </si>
  <si>
    <t>4</t>
  </si>
  <si>
    <t>Содержание и ремонт ПЗУ</t>
  </si>
  <si>
    <t>Компания АНБС ООО</t>
  </si>
  <si>
    <t>Эксплуатация общедомовых ПУ</t>
  </si>
  <si>
    <t>вид услуги</t>
  </si>
  <si>
    <t>6</t>
  </si>
  <si>
    <t>8</t>
  </si>
  <si>
    <t>Справка о тарифах на жилищные услуги</t>
  </si>
  <si>
    <t>1</t>
  </si>
  <si>
    <t>5</t>
  </si>
  <si>
    <t>СМЕТА доходов и расходов за период январь - декабрь 2016 года</t>
  </si>
  <si>
    <t>Очистка мусоропроводов</t>
  </si>
  <si>
    <t>9</t>
  </si>
  <si>
    <t xml:space="preserve">отчистка мусоропроводов </t>
  </si>
  <si>
    <t>Сведения о задолжности за  2016 год по МКД  по адресу: Дунайский проспект  д.3 к.2</t>
  </si>
  <si>
    <t>Фонд капитального ремонта</t>
  </si>
  <si>
    <t xml:space="preserve"> (в т.ч. обслуживание ВЦКП,  бухгалтерское сопровождение начисления квартплаты,  УК "Петербургский дом" )</t>
  </si>
  <si>
    <t>Наименование: УК "Петербургский дом"</t>
  </si>
  <si>
    <t>Капитальный ремонт</t>
  </si>
  <si>
    <t>3.91/2.3</t>
  </si>
  <si>
    <t>4.29/2.47</t>
  </si>
  <si>
    <t>Адрес: Дунайский проспект  д. 3 к.2</t>
  </si>
  <si>
    <t>Общая  полезная площадь дома,  7442.50 м2</t>
  </si>
  <si>
    <t xml:space="preserve">Нераспределенные ОДН </t>
  </si>
  <si>
    <t>Нераспределенные ОДН</t>
  </si>
  <si>
    <t xml:space="preserve">Отчет по смете доходов и расходов за  2016 год по МКД  по адресу: </t>
  </si>
  <si>
    <t>Дунайский проспект  д.3 к.2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</si>
</sst>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name val="Arial"/>
      <family val="2"/>
    </font>
    <font>
      <sz val="9"/>
      <name val="Arial Cyr"/>
      <charset val="204"/>
    </font>
    <font>
      <b/>
      <sz val="9"/>
      <name val="Arial"/>
      <family val="2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charset val="204"/>
    </font>
    <font>
      <b/>
      <sz val="8"/>
      <name val="Arial"/>
      <family val="2"/>
      <charset val="204"/>
    </font>
    <font>
      <i/>
      <sz val="8"/>
      <name val="Arial"/>
      <family val="2"/>
    </font>
    <font>
      <b/>
      <u/>
      <sz val="11"/>
      <name val="Arial"/>
      <family val="2"/>
    </font>
    <font>
      <b/>
      <sz val="10"/>
      <name val="Arial Cyr"/>
      <charset val="204"/>
    </font>
    <font>
      <b/>
      <u/>
      <sz val="10"/>
      <name val="Arial Cyr"/>
      <charset val="204"/>
    </font>
    <font>
      <u/>
      <sz val="10"/>
      <name val="Arial Cyr"/>
      <charset val="204"/>
    </font>
    <font>
      <b/>
      <u/>
      <sz val="9"/>
      <name val="Arial"/>
      <family val="2"/>
      <charset val="204"/>
    </font>
    <font>
      <b/>
      <u val="singleAccounting"/>
      <sz val="9"/>
      <name val="Arial"/>
      <family val="2"/>
      <charset val="204"/>
    </font>
    <font>
      <b/>
      <i/>
      <u/>
      <sz val="8"/>
      <name val="Arial"/>
      <family val="2"/>
      <charset val="204"/>
    </font>
    <font>
      <u/>
      <sz val="9"/>
      <name val="Arial Cyr"/>
      <charset val="204"/>
    </font>
    <font>
      <b/>
      <sz val="9"/>
      <name val="Arial"/>
      <family val="2"/>
      <charset val="204"/>
    </font>
    <font>
      <b/>
      <sz val="10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sz val="14"/>
      <name val="Arial Cyr"/>
      <charset val="204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u/>
      <sz val="20"/>
      <name val="Arial"/>
      <family val="2"/>
    </font>
    <font>
      <b/>
      <u/>
      <sz val="16"/>
      <name val="Arial Cyr"/>
      <charset val="204"/>
    </font>
    <font>
      <sz val="12"/>
      <name val="Times New Roman"/>
      <family val="1"/>
      <charset val="204"/>
    </font>
    <font>
      <sz val="16"/>
      <name val="Arial Cyr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b/>
      <sz val="18"/>
      <name val="Arial Cyr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9" tint="-0.499984740745262"/>
      <name val="Times New Roman"/>
      <family val="1"/>
      <charset val="204"/>
    </font>
    <font>
      <i/>
      <sz val="10"/>
      <color theme="9" tint="-0.499984740745262"/>
      <name val="Times New Roman"/>
      <family val="1"/>
      <charset val="204"/>
    </font>
    <font>
      <b/>
      <sz val="11"/>
      <color theme="9" tint="-0.499984740745262"/>
      <name val="Times New Roman"/>
      <family val="1"/>
      <charset val="204"/>
    </font>
    <font>
      <i/>
      <sz val="11"/>
      <color theme="9" tint="-0.499984740745262"/>
      <name val="Times New Roman"/>
      <family val="1"/>
      <charset val="204"/>
    </font>
    <font>
      <sz val="11"/>
      <color theme="9" tint="-0.49998474074526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388">
    <xf numFmtId="0" fontId="0" fillId="0" borderId="0" xfId="0"/>
    <xf numFmtId="0" fontId="2" fillId="0" borderId="0" xfId="1"/>
    <xf numFmtId="0" fontId="2" fillId="0" borderId="0" xfId="1" applyAlignment="1">
      <alignment horizontal="right"/>
    </xf>
    <xf numFmtId="0" fontId="2" fillId="0" borderId="0" xfId="1" applyAlignment="1">
      <alignment horizontal="left"/>
    </xf>
    <xf numFmtId="0" fontId="2" fillId="0" borderId="1" xfId="1" applyBorder="1"/>
    <xf numFmtId="0" fontId="2" fillId="0" borderId="2" xfId="1" applyBorder="1"/>
    <xf numFmtId="0" fontId="2" fillId="0" borderId="3" xfId="1" applyBorder="1" applyAlignment="1">
      <alignment horizontal="center"/>
    </xf>
    <xf numFmtId="0" fontId="2" fillId="0" borderId="2" xfId="1" applyBorder="1" applyAlignment="1">
      <alignment horizontal="center"/>
    </xf>
    <xf numFmtId="0" fontId="2" fillId="0" borderId="3" xfId="1" applyBorder="1" applyAlignment="1">
      <alignment horizontal="right"/>
    </xf>
    <xf numFmtId="0" fontId="2" fillId="0" borderId="2" xfId="1" applyFill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5" xfId="1" applyBorder="1"/>
    <xf numFmtId="0" fontId="2" fillId="0" borderId="0" xfId="1" applyBorder="1"/>
    <xf numFmtId="0" fontId="2" fillId="0" borderId="6" xfId="1" applyBorder="1" applyAlignment="1">
      <alignment horizontal="center"/>
    </xf>
    <xf numFmtId="0" fontId="2" fillId="0" borderId="0" xfId="1" applyBorder="1" applyAlignment="1">
      <alignment horizontal="center"/>
    </xf>
    <xf numFmtId="0" fontId="2" fillId="0" borderId="6" xfId="1" applyBorder="1" applyAlignment="1">
      <alignment horizontal="right"/>
    </xf>
    <xf numFmtId="0" fontId="2" fillId="0" borderId="7" xfId="1" applyBorder="1" applyAlignment="1">
      <alignment horizontal="center"/>
    </xf>
    <xf numFmtId="0" fontId="2" fillId="0" borderId="8" xfId="1" applyBorder="1"/>
    <xf numFmtId="0" fontId="2" fillId="0" borderId="9" xfId="1" applyBorder="1"/>
    <xf numFmtId="0" fontId="2" fillId="0" borderId="10" xfId="1" applyBorder="1" applyAlignment="1">
      <alignment horizontal="center"/>
    </xf>
    <xf numFmtId="0" fontId="2" fillId="0" borderId="9" xfId="1" applyBorder="1" applyAlignment="1">
      <alignment horizontal="center"/>
    </xf>
    <xf numFmtId="0" fontId="2" fillId="0" borderId="10" xfId="1" applyBorder="1" applyAlignment="1">
      <alignment horizontal="right"/>
    </xf>
    <xf numFmtId="0" fontId="2" fillId="0" borderId="11" xfId="1" applyBorder="1" applyAlignment="1">
      <alignment horizontal="center"/>
    </xf>
    <xf numFmtId="0" fontId="2" fillId="0" borderId="12" xfId="1" applyBorder="1"/>
    <xf numFmtId="0" fontId="2" fillId="0" borderId="13" xfId="1" applyBorder="1"/>
    <xf numFmtId="2" fontId="2" fillId="0" borderId="14" xfId="1" applyNumberFormat="1" applyBorder="1" applyAlignment="1">
      <alignment horizontal="center"/>
    </xf>
    <xf numFmtId="0" fontId="2" fillId="0" borderId="13" xfId="1" applyBorder="1" applyAlignment="1">
      <alignment horizontal="center"/>
    </xf>
    <xf numFmtId="4" fontId="2" fillId="0" borderId="14" xfId="1" applyNumberFormat="1" applyBorder="1" applyAlignment="1">
      <alignment horizontal="right"/>
    </xf>
    <xf numFmtId="0" fontId="2" fillId="0" borderId="15" xfId="1" applyBorder="1" applyAlignment="1">
      <alignment horizontal="center"/>
    </xf>
    <xf numFmtId="2" fontId="2" fillId="0" borderId="6" xfId="1" applyNumberFormat="1" applyBorder="1" applyAlignment="1">
      <alignment horizontal="center"/>
    </xf>
    <xf numFmtId="4" fontId="2" fillId="0" borderId="6" xfId="1" applyNumberFormat="1" applyBorder="1" applyAlignment="1">
      <alignment horizontal="right"/>
    </xf>
    <xf numFmtId="0" fontId="2" fillId="0" borderId="16" xfId="1" applyBorder="1"/>
    <xf numFmtId="0" fontId="2" fillId="0" borderId="17" xfId="1" applyBorder="1"/>
    <xf numFmtId="2" fontId="2" fillId="0" borderId="18" xfId="1" applyNumberFormat="1" applyBorder="1" applyAlignment="1">
      <alignment horizontal="center"/>
    </xf>
    <xf numFmtId="0" fontId="2" fillId="0" borderId="17" xfId="1" applyBorder="1" applyAlignment="1">
      <alignment horizontal="center"/>
    </xf>
    <xf numFmtId="4" fontId="2" fillId="0" borderId="10" xfId="1" applyNumberFormat="1" applyBorder="1" applyAlignment="1">
      <alignment horizontal="right"/>
    </xf>
    <xf numFmtId="1" fontId="2" fillId="0" borderId="17" xfId="1" applyNumberFormat="1" applyBorder="1" applyAlignment="1">
      <alignment horizontal="center"/>
    </xf>
    <xf numFmtId="1" fontId="2" fillId="0" borderId="13" xfId="1" applyNumberFormat="1" applyBorder="1" applyAlignment="1">
      <alignment horizontal="center"/>
    </xf>
    <xf numFmtId="0" fontId="2" fillId="0" borderId="18" xfId="1" applyBorder="1" applyAlignment="1">
      <alignment horizontal="center"/>
    </xf>
    <xf numFmtId="0" fontId="2" fillId="0" borderId="19" xfId="1" applyBorder="1"/>
    <xf numFmtId="0" fontId="2" fillId="0" borderId="20" xfId="1" applyBorder="1"/>
    <xf numFmtId="0" fontId="2" fillId="0" borderId="21" xfId="1" applyBorder="1" applyAlignment="1">
      <alignment horizontal="center"/>
    </xf>
    <xf numFmtId="0" fontId="2" fillId="0" borderId="20" xfId="1" applyBorder="1" applyAlignment="1">
      <alignment horizontal="center"/>
    </xf>
    <xf numFmtId="4" fontId="3" fillId="0" borderId="21" xfId="1" applyNumberFormat="1" applyFont="1" applyBorder="1" applyAlignment="1">
      <alignment horizontal="right"/>
    </xf>
    <xf numFmtId="0" fontId="2" fillId="0" borderId="22" xfId="1" applyBorder="1" applyAlignment="1">
      <alignment horizontal="center"/>
    </xf>
    <xf numFmtId="0" fontId="2" fillId="0" borderId="23" xfId="1" applyBorder="1" applyAlignment="1">
      <alignment horizontal="center"/>
    </xf>
    <xf numFmtId="0" fontId="2" fillId="0" borderId="5" xfId="1" applyFill="1" applyBorder="1"/>
    <xf numFmtId="0" fontId="2" fillId="0" borderId="0" xfId="1" applyBorder="1" applyAlignment="1">
      <alignment horizontal="right"/>
    </xf>
    <xf numFmtId="0" fontId="2" fillId="0" borderId="0" xfId="1" applyFont="1"/>
    <xf numFmtId="2" fontId="2" fillId="0" borderId="18" xfId="1" applyNumberFormat="1" applyFont="1" applyBorder="1" applyAlignment="1">
      <alignment horizontal="center"/>
    </xf>
    <xf numFmtId="3" fontId="2" fillId="0" borderId="18" xfId="1" applyNumberFormat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7" xfId="1" applyFont="1" applyBorder="1"/>
    <xf numFmtId="164" fontId="0" fillId="0" borderId="0" xfId="2" applyFont="1"/>
    <xf numFmtId="164" fontId="6" fillId="0" borderId="0" xfId="2" applyFont="1"/>
    <xf numFmtId="164" fontId="7" fillId="0" borderId="0" xfId="2" applyFont="1"/>
    <xf numFmtId="0" fontId="6" fillId="0" borderId="0" xfId="0" applyFont="1"/>
    <xf numFmtId="164" fontId="8" fillId="0" borderId="0" xfId="2" applyFont="1"/>
    <xf numFmtId="0" fontId="7" fillId="0" borderId="0" xfId="0" applyFont="1"/>
    <xf numFmtId="164" fontId="6" fillId="0" borderId="0" xfId="2" applyFont="1" applyAlignment="1">
      <alignment horizontal="left"/>
    </xf>
    <xf numFmtId="165" fontId="8" fillId="0" borderId="0" xfId="2" applyNumberFormat="1" applyFont="1" applyAlignment="1">
      <alignment horizontal="left"/>
    </xf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10" fillId="0" borderId="26" xfId="0" applyFont="1" applyBorder="1"/>
    <xf numFmtId="164" fontId="11" fillId="0" borderId="27" xfId="2" applyFont="1" applyBorder="1"/>
    <xf numFmtId="164" fontId="11" fillId="0" borderId="28" xfId="2" applyFont="1" applyBorder="1"/>
    <xf numFmtId="164" fontId="12" fillId="0" borderId="28" xfId="2" applyFont="1" applyBorder="1"/>
    <xf numFmtId="164" fontId="12" fillId="0" borderId="29" xfId="2" applyFont="1" applyBorder="1"/>
    <xf numFmtId="164" fontId="12" fillId="0" borderId="30" xfId="2" applyFont="1" applyBorder="1"/>
    <xf numFmtId="164" fontId="12" fillId="0" borderId="31" xfId="2" applyFont="1" applyBorder="1"/>
    <xf numFmtId="0" fontId="12" fillId="0" borderId="0" xfId="0" applyFont="1"/>
    <xf numFmtId="165" fontId="12" fillId="0" borderId="0" xfId="2" applyNumberFormat="1" applyFont="1" applyAlignment="1">
      <alignment horizontal="left"/>
    </xf>
    <xf numFmtId="164" fontId="12" fillId="0" borderId="0" xfId="2" applyFont="1" applyAlignment="1">
      <alignment horizontal="left"/>
    </xf>
    <xf numFmtId="164" fontId="12" fillId="0" borderId="0" xfId="2" applyFont="1"/>
    <xf numFmtId="165" fontId="11" fillId="0" borderId="0" xfId="2" applyNumberFormat="1" applyFont="1" applyAlignment="1">
      <alignment horizontal="left"/>
    </xf>
    <xf numFmtId="0" fontId="13" fillId="0" borderId="0" xfId="0" applyFont="1"/>
    <xf numFmtId="0" fontId="14" fillId="0" borderId="32" xfId="0" applyFont="1" applyBorder="1"/>
    <xf numFmtId="0" fontId="11" fillId="0" borderId="33" xfId="0" applyFont="1" applyBorder="1"/>
    <xf numFmtId="0" fontId="11" fillId="0" borderId="34" xfId="0" applyFont="1" applyBorder="1"/>
    <xf numFmtId="164" fontId="11" fillId="0" borderId="34" xfId="2" applyFont="1" applyBorder="1"/>
    <xf numFmtId="164" fontId="12" fillId="0" borderId="34" xfId="2" applyFont="1" applyBorder="1"/>
    <xf numFmtId="0" fontId="11" fillId="0" borderId="35" xfId="0" applyFont="1" applyBorder="1"/>
    <xf numFmtId="164" fontId="14" fillId="0" borderId="36" xfId="2" applyFont="1" applyBorder="1"/>
    <xf numFmtId="0" fontId="11" fillId="0" borderId="37" xfId="0" applyFont="1" applyBorder="1"/>
    <xf numFmtId="0" fontId="14" fillId="0" borderId="38" xfId="0" applyFont="1" applyBorder="1"/>
    <xf numFmtId="0" fontId="12" fillId="0" borderId="25" xfId="0" applyFont="1" applyBorder="1"/>
    <xf numFmtId="0" fontId="12" fillId="0" borderId="18" xfId="0" applyFont="1" applyBorder="1"/>
    <xf numFmtId="164" fontId="11" fillId="0" borderId="18" xfId="2" applyFont="1" applyBorder="1"/>
    <xf numFmtId="164" fontId="12" fillId="0" borderId="18" xfId="2" applyFont="1" applyBorder="1"/>
    <xf numFmtId="0" fontId="11" fillId="0" borderId="16" xfId="0" applyFont="1" applyBorder="1"/>
    <xf numFmtId="0" fontId="11" fillId="0" borderId="18" xfId="0" applyFont="1" applyBorder="1"/>
    <xf numFmtId="164" fontId="14" fillId="0" borderId="39" xfId="2" applyFont="1" applyBorder="1"/>
    <xf numFmtId="0" fontId="12" fillId="0" borderId="40" xfId="0" applyFont="1" applyBorder="1"/>
    <xf numFmtId="0" fontId="12" fillId="0" borderId="16" xfId="0" applyFont="1" applyBorder="1"/>
    <xf numFmtId="0" fontId="14" fillId="0" borderId="41" xfId="0" applyFont="1" applyBorder="1"/>
    <xf numFmtId="0" fontId="12" fillId="0" borderId="42" xfId="0" applyFont="1" applyBorder="1"/>
    <xf numFmtId="0" fontId="12" fillId="0" borderId="21" xfId="0" applyFont="1" applyBorder="1"/>
    <xf numFmtId="164" fontId="11" fillId="0" borderId="21" xfId="2" applyFont="1" applyBorder="1"/>
    <xf numFmtId="164" fontId="12" fillId="0" borderId="21" xfId="2" applyFont="1" applyBorder="1"/>
    <xf numFmtId="0" fontId="12" fillId="0" borderId="19" xfId="0" applyFont="1" applyBorder="1"/>
    <xf numFmtId="164" fontId="14" fillId="0" borderId="43" xfId="2" applyFont="1" applyBorder="1"/>
    <xf numFmtId="0" fontId="12" fillId="0" borderId="44" xfId="0" applyFont="1" applyBorder="1"/>
    <xf numFmtId="0" fontId="14" fillId="0" borderId="45" xfId="0" applyFont="1" applyBorder="1"/>
    <xf numFmtId="0" fontId="12" fillId="0" borderId="14" xfId="0" applyFont="1" applyBorder="1"/>
    <xf numFmtId="164" fontId="12" fillId="0" borderId="14" xfId="2" applyFont="1" applyBorder="1"/>
    <xf numFmtId="164" fontId="11" fillId="0" borderId="14" xfId="2" applyFont="1" applyBorder="1"/>
    <xf numFmtId="0" fontId="12" fillId="0" borderId="12" xfId="0" applyFont="1" applyBorder="1"/>
    <xf numFmtId="164" fontId="12" fillId="0" borderId="15" xfId="2" applyFont="1" applyBorder="1"/>
    <xf numFmtId="0" fontId="14" fillId="0" borderId="46" xfId="0" applyFont="1" applyBorder="1"/>
    <xf numFmtId="164" fontId="15" fillId="0" borderId="18" xfId="2" applyFont="1" applyBorder="1"/>
    <xf numFmtId="164" fontId="12" fillId="0" borderId="39" xfId="2" applyFont="1" applyBorder="1"/>
    <xf numFmtId="0" fontId="12" fillId="0" borderId="28" xfId="0" applyFont="1" applyBorder="1"/>
    <xf numFmtId="0" fontId="12" fillId="0" borderId="10" xfId="0" applyFont="1" applyBorder="1"/>
    <xf numFmtId="164" fontId="12" fillId="0" borderId="10" xfId="2" applyFont="1" applyBorder="1"/>
    <xf numFmtId="164" fontId="11" fillId="0" borderId="10" xfId="2" applyFont="1" applyBorder="1"/>
    <xf numFmtId="0" fontId="12" fillId="0" borderId="8" xfId="0" applyFont="1" applyBorder="1"/>
    <xf numFmtId="164" fontId="12" fillId="0" borderId="11" xfId="2" applyFont="1" applyBorder="1"/>
    <xf numFmtId="0" fontId="12" fillId="0" borderId="31" xfId="0" applyFont="1" applyBorder="1"/>
    <xf numFmtId="164" fontId="14" fillId="0" borderId="10" xfId="2" applyFont="1" applyBorder="1"/>
    <xf numFmtId="0" fontId="11" fillId="0" borderId="47" xfId="0" applyFont="1" applyBorder="1"/>
    <xf numFmtId="164" fontId="12" fillId="0" borderId="48" xfId="2" applyFont="1" applyBorder="1"/>
    <xf numFmtId="0" fontId="12" fillId="0" borderId="49" xfId="0" applyFont="1" applyBorder="1"/>
    <xf numFmtId="164" fontId="11" fillId="0" borderId="49" xfId="2" applyFont="1" applyBorder="1"/>
    <xf numFmtId="164" fontId="12" fillId="0" borderId="49" xfId="2" applyFont="1" applyBorder="1"/>
    <xf numFmtId="0" fontId="12" fillId="0" borderId="50" xfId="0" applyFont="1" applyBorder="1"/>
    <xf numFmtId="164" fontId="11" fillId="0" borderId="51" xfId="2" applyFont="1" applyBorder="1"/>
    <xf numFmtId="0" fontId="11" fillId="0" borderId="52" xfId="0" applyFont="1" applyBorder="1"/>
    <xf numFmtId="0" fontId="12" fillId="0" borderId="46" xfId="0" applyFont="1" applyBorder="1"/>
    <xf numFmtId="0" fontId="11" fillId="0" borderId="47" xfId="0" applyFont="1" applyFill="1" applyBorder="1"/>
    <xf numFmtId="0" fontId="11" fillId="0" borderId="49" xfId="0" applyFont="1" applyBorder="1"/>
    <xf numFmtId="0" fontId="11" fillId="0" borderId="50" xfId="0" applyFont="1" applyBorder="1"/>
    <xf numFmtId="164" fontId="12" fillId="0" borderId="51" xfId="2" applyFont="1" applyBorder="1"/>
    <xf numFmtId="0" fontId="16" fillId="0" borderId="0" xfId="0" applyFont="1"/>
    <xf numFmtId="164" fontId="12" fillId="0" borderId="28" xfId="0" applyNumberFormat="1" applyFont="1" applyBorder="1"/>
    <xf numFmtId="164" fontId="12" fillId="0" borderId="30" xfId="0" applyNumberFormat="1" applyFont="1" applyBorder="1"/>
    <xf numFmtId="164" fontId="12" fillId="0" borderId="31" xfId="0" applyNumberFormat="1" applyFont="1" applyBorder="1"/>
    <xf numFmtId="164" fontId="11" fillId="0" borderId="52" xfId="0" applyNumberFormat="1" applyFont="1" applyBorder="1"/>
    <xf numFmtId="0" fontId="9" fillId="0" borderId="33" xfId="0" applyFont="1" applyBorder="1"/>
    <xf numFmtId="164" fontId="12" fillId="0" borderId="27" xfId="2" applyFont="1" applyBorder="1"/>
    <xf numFmtId="0" fontId="12" fillId="0" borderId="34" xfId="0" applyFont="1" applyBorder="1"/>
    <xf numFmtId="0" fontId="12" fillId="0" borderId="35" xfId="0" applyFont="1" applyBorder="1"/>
    <xf numFmtId="164" fontId="12" fillId="0" borderId="36" xfId="2" applyFont="1" applyBorder="1"/>
    <xf numFmtId="164" fontId="12" fillId="0" borderId="37" xfId="0" applyNumberFormat="1" applyFont="1" applyBorder="1"/>
    <xf numFmtId="0" fontId="9" fillId="0" borderId="42" xfId="0" applyFont="1" applyBorder="1"/>
    <xf numFmtId="164" fontId="15" fillId="0" borderId="21" xfId="2" applyFont="1" applyBorder="1"/>
    <xf numFmtId="164" fontId="12" fillId="0" borderId="43" xfId="2" applyFont="1" applyBorder="1"/>
    <xf numFmtId="14" fontId="12" fillId="0" borderId="21" xfId="0" applyNumberFormat="1" applyFont="1" applyBorder="1"/>
    <xf numFmtId="0" fontId="17" fillId="0" borderId="0" xfId="0" applyFont="1"/>
    <xf numFmtId="164" fontId="13" fillId="0" borderId="18" xfId="2" applyFont="1" applyBorder="1"/>
    <xf numFmtId="164" fontId="13" fillId="0" borderId="28" xfId="2" applyFont="1" applyBorder="1"/>
    <xf numFmtId="0" fontId="0" fillId="0" borderId="10" xfId="0" applyBorder="1"/>
    <xf numFmtId="0" fontId="0" fillId="0" borderId="14" xfId="0" applyBorder="1"/>
    <xf numFmtId="0" fontId="0" fillId="0" borderId="46" xfId="0" applyBorder="1"/>
    <xf numFmtId="164" fontId="0" fillId="0" borderId="53" xfId="2" applyFont="1" applyBorder="1"/>
    <xf numFmtId="164" fontId="0" fillId="0" borderId="9" xfId="2" applyFont="1" applyBorder="1"/>
    <xf numFmtId="0" fontId="0" fillId="0" borderId="31" xfId="0" applyBorder="1"/>
    <xf numFmtId="164" fontId="0" fillId="0" borderId="54" xfId="2" applyFont="1" applyBorder="1"/>
    <xf numFmtId="164" fontId="0" fillId="0" borderId="0" xfId="2" applyFont="1" applyBorder="1"/>
    <xf numFmtId="0" fontId="0" fillId="0" borderId="55" xfId="0" applyBorder="1"/>
    <xf numFmtId="164" fontId="0" fillId="0" borderId="45" xfId="2" applyFont="1" applyBorder="1"/>
    <xf numFmtId="164" fontId="0" fillId="0" borderId="13" xfId="2" applyFont="1" applyBorder="1"/>
    <xf numFmtId="0" fontId="0" fillId="0" borderId="30" xfId="0" applyBorder="1"/>
    <xf numFmtId="0" fontId="9" fillId="0" borderId="32" xfId="0" applyFont="1" applyBorder="1"/>
    <xf numFmtId="0" fontId="9" fillId="0" borderId="41" xfId="0" applyFont="1" applyBorder="1"/>
    <xf numFmtId="0" fontId="18" fillId="0" borderId="0" xfId="0" applyFont="1"/>
    <xf numFmtId="164" fontId="19" fillId="0" borderId="0" xfId="2" applyFont="1"/>
    <xf numFmtId="0" fontId="19" fillId="0" borderId="0" xfId="0" applyFont="1"/>
    <xf numFmtId="164" fontId="18" fillId="0" borderId="0" xfId="2" applyFont="1"/>
    <xf numFmtId="164" fontId="23" fillId="0" borderId="0" xfId="2" applyFont="1"/>
    <xf numFmtId="164" fontId="0" fillId="0" borderId="1" xfId="2" applyFont="1" applyBorder="1"/>
    <xf numFmtId="164" fontId="0" fillId="0" borderId="3" xfId="2" applyFont="1" applyBorder="1"/>
    <xf numFmtId="0" fontId="0" fillId="0" borderId="56" xfId="0" applyBorder="1"/>
    <xf numFmtId="164" fontId="0" fillId="0" borderId="57" xfId="2" applyFont="1" applyBorder="1"/>
    <xf numFmtId="164" fontId="0" fillId="0" borderId="58" xfId="2" applyFont="1" applyBorder="1"/>
    <xf numFmtId="164" fontId="0" fillId="0" borderId="59" xfId="2" applyFont="1" applyBorder="1"/>
    <xf numFmtId="0" fontId="0" fillId="0" borderId="60" xfId="0" applyBorder="1"/>
    <xf numFmtId="164" fontId="0" fillId="0" borderId="61" xfId="2" applyFont="1" applyBorder="1"/>
    <xf numFmtId="0" fontId="9" fillId="0" borderId="62" xfId="0" applyFont="1" applyBorder="1"/>
    <xf numFmtId="164" fontId="0" fillId="0" borderId="49" xfId="2" applyFont="1" applyBorder="1"/>
    <xf numFmtId="164" fontId="0" fillId="0" borderId="63" xfId="2" applyFont="1" applyBorder="1"/>
    <xf numFmtId="0" fontId="0" fillId="0" borderId="63" xfId="0" applyBorder="1"/>
    <xf numFmtId="164" fontId="0" fillId="0" borderId="52" xfId="2" applyFont="1" applyBorder="1"/>
    <xf numFmtId="0" fontId="22" fillId="0" borderId="64" xfId="0" applyFont="1" applyBorder="1"/>
    <xf numFmtId="164" fontId="1" fillId="0" borderId="54" xfId="2" applyFont="1" applyBorder="1"/>
    <xf numFmtId="0" fontId="19" fillId="0" borderId="54" xfId="0" applyFont="1" applyBorder="1"/>
    <xf numFmtId="164" fontId="19" fillId="0" borderId="55" xfId="2" applyFont="1" applyBorder="1"/>
    <xf numFmtId="164" fontId="13" fillId="0" borderId="49" xfId="2" applyFont="1" applyBorder="1"/>
    <xf numFmtId="164" fontId="13" fillId="0" borderId="63" xfId="2" applyFont="1" applyBorder="1"/>
    <xf numFmtId="0" fontId="0" fillId="0" borderId="48" xfId="0" applyBorder="1"/>
    <xf numFmtId="164" fontId="0" fillId="0" borderId="51" xfId="2" applyFont="1" applyBorder="1"/>
    <xf numFmtId="164" fontId="6" fillId="0" borderId="0" xfId="2" applyFont="1" applyFill="1"/>
    <xf numFmtId="164" fontId="12" fillId="0" borderId="0" xfId="2" applyFont="1" applyFill="1"/>
    <xf numFmtId="164" fontId="6" fillId="0" borderId="0" xfId="2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/>
    <xf numFmtId="0" fontId="16" fillId="0" borderId="0" xfId="0" applyFont="1" applyFill="1"/>
    <xf numFmtId="0" fontId="12" fillId="0" borderId="0" xfId="0" applyFont="1" applyFill="1"/>
    <xf numFmtId="164" fontId="12" fillId="0" borderId="0" xfId="2" applyFont="1" applyFill="1" applyAlignment="1">
      <alignment horizontal="left"/>
    </xf>
    <xf numFmtId="0" fontId="13" fillId="0" borderId="0" xfId="0" applyFont="1" applyFill="1"/>
    <xf numFmtId="0" fontId="26" fillId="0" borderId="0" xfId="0" applyFont="1" applyFill="1"/>
    <xf numFmtId="0" fontId="27" fillId="0" borderId="0" xfId="0" applyFont="1" applyFill="1"/>
    <xf numFmtId="164" fontId="26" fillId="0" borderId="0" xfId="2" applyFont="1" applyFill="1"/>
    <xf numFmtId="0" fontId="28" fillId="0" borderId="0" xfId="0" applyFont="1" applyFill="1"/>
    <xf numFmtId="0" fontId="24" fillId="0" borderId="0" xfId="0" applyFont="1" applyFill="1"/>
    <xf numFmtId="0" fontId="14" fillId="0" borderId="0" xfId="0" applyFont="1" applyFill="1"/>
    <xf numFmtId="3" fontId="2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3" fontId="12" fillId="0" borderId="0" xfId="2" applyNumberFormat="1" applyFont="1" applyFill="1" applyAlignment="1">
      <alignment horizontal="center"/>
    </xf>
    <xf numFmtId="3" fontId="25" fillId="0" borderId="0" xfId="2" applyNumberFormat="1" applyFont="1" applyFill="1" applyAlignment="1">
      <alignment horizontal="center"/>
    </xf>
    <xf numFmtId="3" fontId="2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0" fontId="3" fillId="0" borderId="0" xfId="0" applyFont="1" applyFill="1"/>
    <xf numFmtId="164" fontId="29" fillId="0" borderId="0" xfId="2" applyFont="1" applyFill="1"/>
    <xf numFmtId="3" fontId="30" fillId="0" borderId="0" xfId="2" applyNumberFormat="1" applyFont="1" applyFill="1" applyAlignment="1">
      <alignment horizontal="center"/>
    </xf>
    <xf numFmtId="0" fontId="29" fillId="0" borderId="0" xfId="0" applyFont="1" applyFill="1"/>
    <xf numFmtId="0" fontId="31" fillId="0" borderId="0" xfId="0" applyFont="1" applyFill="1"/>
    <xf numFmtId="0" fontId="32" fillId="0" borderId="0" xfId="0" applyFont="1"/>
    <xf numFmtId="164" fontId="24" fillId="0" borderId="0" xfId="2" applyFont="1" applyFill="1" applyAlignment="1">
      <alignment horizontal="right"/>
    </xf>
    <xf numFmtId="165" fontId="3" fillId="0" borderId="0" xfId="2" applyNumberFormat="1" applyFont="1" applyFill="1" applyAlignment="1">
      <alignment horizontal="right"/>
    </xf>
    <xf numFmtId="0" fontId="33" fillId="0" borderId="18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 wrapText="1" indent="8"/>
    </xf>
    <xf numFmtId="0" fontId="33" fillId="0" borderId="18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 wrapText="1" indent="2"/>
    </xf>
    <xf numFmtId="0" fontId="0" fillId="0" borderId="0" xfId="0" applyAlignment="1">
      <alignment wrapText="1"/>
    </xf>
    <xf numFmtId="0" fontId="35" fillId="0" borderId="18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18" xfId="0" applyFont="1" applyFill="1" applyBorder="1"/>
    <xf numFmtId="0" fontId="36" fillId="0" borderId="18" xfId="0" applyFont="1" applyFill="1" applyBorder="1" applyAlignment="1">
      <alignment horizontal="left" vertical="center"/>
    </xf>
    <xf numFmtId="2" fontId="33" fillId="0" borderId="14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 vertical="center"/>
    </xf>
    <xf numFmtId="2" fontId="33" fillId="0" borderId="14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0" fontId="37" fillId="0" borderId="18" xfId="0" applyFont="1" applyBorder="1" applyAlignment="1">
      <alignment horizontal="left" vertical="center" wrapText="1"/>
    </xf>
    <xf numFmtId="2" fontId="38" fillId="0" borderId="18" xfId="2" applyNumberFormat="1" applyFont="1" applyFill="1" applyBorder="1" applyAlignment="1">
      <alignment horizontal="center" vertical="center"/>
    </xf>
    <xf numFmtId="0" fontId="40" fillId="0" borderId="0" xfId="0" applyFont="1"/>
    <xf numFmtId="0" fontId="41" fillId="0" borderId="47" xfId="0" applyFont="1" applyBorder="1"/>
    <xf numFmtId="2" fontId="39" fillId="0" borderId="28" xfId="2" applyNumberFormat="1" applyFont="1" applyFill="1" applyBorder="1" applyAlignment="1">
      <alignment horizontal="center" vertical="center"/>
    </xf>
    <xf numFmtId="2" fontId="39" fillId="0" borderId="18" xfId="2" applyNumberFormat="1" applyFont="1" applyFill="1" applyBorder="1" applyAlignment="1">
      <alignment horizontal="center" vertical="center"/>
    </xf>
    <xf numFmtId="0" fontId="40" fillId="0" borderId="47" xfId="0" applyFont="1" applyBorder="1"/>
    <xf numFmtId="2" fontId="39" fillId="0" borderId="28" xfId="2" applyNumberFormat="1" applyFont="1" applyFill="1" applyBorder="1" applyAlignment="1">
      <alignment horizontal="center"/>
    </xf>
    <xf numFmtId="2" fontId="39" fillId="0" borderId="31" xfId="2" applyNumberFormat="1" applyFont="1" applyFill="1" applyBorder="1" applyAlignment="1">
      <alignment horizontal="center"/>
    </xf>
    <xf numFmtId="2" fontId="42" fillId="0" borderId="10" xfId="2" applyNumberFormat="1" applyFont="1" applyFill="1" applyBorder="1" applyAlignment="1">
      <alignment vertical="center"/>
    </xf>
    <xf numFmtId="2" fontId="42" fillId="0" borderId="47" xfId="2" applyNumberFormat="1" applyFont="1" applyFill="1" applyBorder="1" applyAlignment="1">
      <alignment horizontal="center" vertical="center"/>
    </xf>
    <xf numFmtId="0" fontId="39" fillId="0" borderId="46" xfId="0" applyFont="1" applyFill="1" applyBorder="1"/>
    <xf numFmtId="0" fontId="41" fillId="0" borderId="0" xfId="0" applyFont="1"/>
    <xf numFmtId="0" fontId="43" fillId="0" borderId="45" xfId="0" applyFont="1" applyFill="1" applyBorder="1" applyAlignment="1">
      <alignment wrapText="1"/>
    </xf>
    <xf numFmtId="0" fontId="43" fillId="0" borderId="46" xfId="0" applyFont="1" applyFill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2" fontId="40" fillId="0" borderId="0" xfId="0" applyNumberFormat="1" applyFont="1"/>
    <xf numFmtId="0" fontId="45" fillId="0" borderId="0" xfId="0" applyFont="1" applyFill="1"/>
    <xf numFmtId="2" fontId="35" fillId="0" borderId="10" xfId="0" applyNumberFormat="1" applyFont="1" applyFill="1" applyBorder="1" applyAlignment="1">
      <alignment horizontal="center" vertical="center"/>
    </xf>
    <xf numFmtId="2" fontId="35" fillId="0" borderId="18" xfId="0" applyNumberFormat="1" applyFont="1" applyFill="1" applyBorder="1" applyAlignment="1">
      <alignment horizontal="center" vertical="center"/>
    </xf>
    <xf numFmtId="0" fontId="35" fillId="0" borderId="18" xfId="0" applyFont="1" applyBorder="1" applyAlignment="1">
      <alignment horizontal="left" vertical="center" wrapText="1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8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2" fontId="35" fillId="0" borderId="14" xfId="0" applyNumberFormat="1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wrapText="1"/>
    </xf>
    <xf numFmtId="0" fontId="35" fillId="0" borderId="18" xfId="0" applyFont="1" applyFill="1" applyBorder="1" applyAlignment="1">
      <alignment horizontal="left" vertical="center" wrapText="1"/>
    </xf>
    <xf numFmtId="2" fontId="45" fillId="0" borderId="0" xfId="0" applyNumberFormat="1" applyFont="1" applyFill="1"/>
    <xf numFmtId="2" fontId="45" fillId="0" borderId="0" xfId="2" applyNumberFormat="1" applyFont="1" applyFill="1" applyAlignment="1">
      <alignment horizontal="center" vertical="center"/>
    </xf>
    <xf numFmtId="2" fontId="45" fillId="0" borderId="0" xfId="2" applyNumberFormat="1" applyFont="1" applyFill="1" applyAlignment="1">
      <alignment horizontal="center"/>
    </xf>
    <xf numFmtId="2" fontId="45" fillId="2" borderId="0" xfId="2" applyNumberFormat="1" applyFont="1" applyFill="1" applyAlignment="1">
      <alignment horizontal="center" vertical="center"/>
    </xf>
    <xf numFmtId="2" fontId="35" fillId="0" borderId="30" xfId="0" applyNumberFormat="1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left" vertical="top"/>
    </xf>
    <xf numFmtId="2" fontId="35" fillId="0" borderId="14" xfId="2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wrapText="1"/>
    </xf>
    <xf numFmtId="2" fontId="35" fillId="3" borderId="48" xfId="0" applyNumberFormat="1" applyFont="1" applyFill="1" applyBorder="1" applyAlignment="1">
      <alignment horizontal="center" vertical="center" wrapText="1"/>
    </xf>
    <xf numFmtId="2" fontId="35" fillId="3" borderId="63" xfId="0" applyNumberFormat="1" applyFont="1" applyFill="1" applyBorder="1" applyAlignment="1">
      <alignment horizontal="center" vertical="center" wrapText="1"/>
    </xf>
    <xf numFmtId="2" fontId="44" fillId="3" borderId="47" xfId="2" applyNumberFormat="1" applyFont="1" applyFill="1" applyBorder="1" applyAlignment="1">
      <alignment horizontal="center" vertical="center"/>
    </xf>
    <xf numFmtId="0" fontId="35" fillId="3" borderId="48" xfId="0" applyFont="1" applyFill="1" applyBorder="1" applyAlignment="1">
      <alignment wrapText="1"/>
    </xf>
    <xf numFmtId="2" fontId="44" fillId="3" borderId="51" xfId="2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2" fontId="35" fillId="3" borderId="10" xfId="0" applyNumberFormat="1" applyFont="1" applyFill="1" applyBorder="1" applyAlignment="1">
      <alignment horizontal="center" vertical="center"/>
    </xf>
    <xf numFmtId="2" fontId="35" fillId="3" borderId="18" xfId="0" applyNumberFormat="1" applyFont="1" applyFill="1" applyBorder="1" applyAlignment="1">
      <alignment horizontal="center" vertical="center" wrapText="1"/>
    </xf>
    <xf numFmtId="2" fontId="35" fillId="3" borderId="14" xfId="0" applyNumberFormat="1" applyFont="1" applyFill="1" applyBorder="1" applyAlignment="1">
      <alignment horizontal="center" vertical="center" wrapText="1"/>
    </xf>
    <xf numFmtId="2" fontId="35" fillId="3" borderId="0" xfId="0" applyNumberFormat="1" applyFont="1" applyFill="1" applyBorder="1" applyAlignment="1">
      <alignment horizontal="center" vertical="center" wrapText="1"/>
    </xf>
    <xf numFmtId="2" fontId="35" fillId="3" borderId="9" xfId="0" applyNumberFormat="1" applyFont="1" applyFill="1" applyBorder="1" applyAlignment="1">
      <alignment horizontal="center" vertical="center" wrapText="1"/>
    </xf>
    <xf numFmtId="2" fontId="35" fillId="3" borderId="14" xfId="2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 wrapText="1"/>
    </xf>
    <xf numFmtId="2" fontId="47" fillId="2" borderId="47" xfId="2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top"/>
    </xf>
    <xf numFmtId="0" fontId="35" fillId="3" borderId="62" xfId="0" applyFont="1" applyFill="1" applyBorder="1" applyAlignment="1">
      <alignment horizontal="left" vertical="top"/>
    </xf>
    <xf numFmtId="0" fontId="35" fillId="0" borderId="6" xfId="0" applyFont="1" applyFill="1" applyBorder="1" applyAlignment="1">
      <alignment horizontal="left" vertical="top"/>
    </xf>
    <xf numFmtId="0" fontId="35" fillId="0" borderId="6" xfId="0" applyFont="1" applyFill="1" applyBorder="1" applyAlignment="1">
      <alignment vertical="center" wrapText="1"/>
    </xf>
    <xf numFmtId="2" fontId="35" fillId="0" borderId="6" xfId="0" applyNumberFormat="1" applyFont="1" applyFill="1" applyBorder="1" applyAlignment="1">
      <alignment horizontal="center" vertical="center"/>
    </xf>
    <xf numFmtId="2" fontId="35" fillId="3" borderId="6" xfId="0" applyNumberFormat="1" applyFont="1" applyFill="1" applyBorder="1" applyAlignment="1">
      <alignment horizontal="center" vertical="center"/>
    </xf>
    <xf numFmtId="0" fontId="46" fillId="0" borderId="29" xfId="0" applyFont="1" applyFill="1" applyBorder="1"/>
    <xf numFmtId="2" fontId="44" fillId="2" borderId="10" xfId="2" applyNumberFormat="1" applyFont="1" applyFill="1" applyBorder="1" applyAlignment="1">
      <alignment horizontal="center" vertical="top"/>
    </xf>
    <xf numFmtId="2" fontId="44" fillId="2" borderId="6" xfId="2" applyNumberFormat="1" applyFont="1" applyFill="1" applyBorder="1" applyAlignment="1">
      <alignment horizontal="center" vertical="top"/>
    </xf>
    <xf numFmtId="2" fontId="44" fillId="2" borderId="59" xfId="2" applyNumberFormat="1" applyFont="1" applyFill="1" applyBorder="1" applyAlignment="1">
      <alignment horizontal="center" vertical="top"/>
    </xf>
    <xf numFmtId="0" fontId="44" fillId="2" borderId="10" xfId="0" applyFont="1" applyFill="1" applyBorder="1" applyAlignment="1">
      <alignment horizontal="center" vertical="top"/>
    </xf>
    <xf numFmtId="2" fontId="44" fillId="2" borderId="10" xfId="2" applyNumberFormat="1" applyFont="1" applyFill="1" applyBorder="1" applyAlignment="1">
      <alignment horizontal="center" vertical="top" wrapText="1"/>
    </xf>
    <xf numFmtId="0" fontId="44" fillId="2" borderId="6" xfId="0" applyFont="1" applyFill="1" applyBorder="1" applyAlignment="1">
      <alignment horizontal="center" vertical="top"/>
    </xf>
    <xf numFmtId="0" fontId="35" fillId="2" borderId="6" xfId="0" applyFont="1" applyFill="1" applyBorder="1" applyAlignment="1">
      <alignment horizontal="center" vertical="top"/>
    </xf>
    <xf numFmtId="2" fontId="44" fillId="2" borderId="6" xfId="2" applyNumberFormat="1" applyFont="1" applyFill="1" applyBorder="1" applyAlignment="1">
      <alignment horizontal="center" vertical="top" wrapText="1"/>
    </xf>
    <xf numFmtId="0" fontId="35" fillId="2" borderId="59" xfId="0" applyFont="1" applyFill="1" applyBorder="1" applyAlignment="1">
      <alignment horizontal="center" vertical="top"/>
    </xf>
    <xf numFmtId="2" fontId="44" fillId="2" borderId="59" xfId="2" applyNumberFormat="1" applyFont="1" applyFill="1" applyBorder="1" applyAlignment="1">
      <alignment horizontal="center" vertical="top" wrapText="1"/>
    </xf>
    <xf numFmtId="2" fontId="44" fillId="2" borderId="53" xfId="2" applyNumberFormat="1" applyFont="1" applyFill="1" applyBorder="1" applyAlignment="1">
      <alignment horizontal="center" vertical="top"/>
    </xf>
    <xf numFmtId="2" fontId="44" fillId="2" borderId="54" xfId="2" applyNumberFormat="1" applyFont="1" applyFill="1" applyBorder="1" applyAlignment="1">
      <alignment horizontal="center" vertical="top"/>
    </xf>
    <xf numFmtId="2" fontId="44" fillId="2" borderId="60" xfId="2" applyNumberFormat="1" applyFont="1" applyFill="1" applyBorder="1" applyAlignment="1">
      <alignment horizontal="center" vertical="top"/>
    </xf>
    <xf numFmtId="2" fontId="35" fillId="0" borderId="54" xfId="0" applyNumberFormat="1" applyFont="1" applyFill="1" applyBorder="1" applyAlignment="1">
      <alignment horizontal="center" vertical="center"/>
    </xf>
    <xf numFmtId="2" fontId="35" fillId="0" borderId="46" xfId="0" applyNumberFormat="1" applyFont="1" applyFill="1" applyBorder="1" applyAlignment="1">
      <alignment horizontal="center" vertical="center"/>
    </xf>
    <xf numFmtId="2" fontId="35" fillId="0" borderId="45" xfId="0" applyNumberFormat="1" applyFont="1" applyFill="1" applyBorder="1" applyAlignment="1">
      <alignment horizontal="center" vertical="center"/>
    </xf>
    <xf numFmtId="2" fontId="35" fillId="0" borderId="46" xfId="0" applyNumberFormat="1" applyFont="1" applyFill="1" applyBorder="1" applyAlignment="1">
      <alignment horizontal="center" vertical="center" wrapText="1"/>
    </xf>
    <xf numFmtId="2" fontId="35" fillId="0" borderId="53" xfId="0" applyNumberFormat="1" applyFont="1" applyFill="1" applyBorder="1" applyAlignment="1">
      <alignment horizontal="center" vertical="center" wrapText="1"/>
    </xf>
    <xf numFmtId="2" fontId="35" fillId="0" borderId="45" xfId="0" applyNumberFormat="1" applyFont="1" applyFill="1" applyBorder="1" applyAlignment="1">
      <alignment horizontal="center" vertical="center" wrapText="1"/>
    </xf>
    <xf numFmtId="0" fontId="44" fillId="2" borderId="31" xfId="0" applyFont="1" applyFill="1" applyBorder="1" applyAlignment="1">
      <alignment horizontal="center" vertical="top" wrapText="1"/>
    </xf>
    <xf numFmtId="0" fontId="44" fillId="2" borderId="55" xfId="0" applyFont="1" applyFill="1" applyBorder="1" applyAlignment="1">
      <alignment horizontal="center" vertical="top" wrapText="1"/>
    </xf>
    <xf numFmtId="0" fontId="35" fillId="2" borderId="55" xfId="0" applyFont="1" applyFill="1" applyBorder="1" applyAlignment="1">
      <alignment horizontal="center" vertical="top" wrapText="1"/>
    </xf>
    <xf numFmtId="0" fontId="35" fillId="2" borderId="66" xfId="0" applyFont="1" applyFill="1" applyBorder="1" applyAlignment="1">
      <alignment horizontal="center" vertical="top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2" fontId="35" fillId="3" borderId="5" xfId="0" applyNumberFormat="1" applyFont="1" applyFill="1" applyBorder="1" applyAlignment="1">
      <alignment horizontal="center" vertical="center"/>
    </xf>
    <xf numFmtId="2" fontId="35" fillId="3" borderId="15" xfId="2" applyNumberFormat="1" applyFont="1" applyFill="1" applyBorder="1" applyAlignment="1">
      <alignment horizontal="center" vertical="center"/>
    </xf>
    <xf numFmtId="2" fontId="35" fillId="3" borderId="8" xfId="0" applyNumberFormat="1" applyFont="1" applyFill="1" applyBorder="1" applyAlignment="1">
      <alignment horizontal="center" vertical="center"/>
    </xf>
    <xf numFmtId="2" fontId="35" fillId="3" borderId="39" xfId="2" applyNumberFormat="1" applyFont="1" applyFill="1" applyBorder="1" applyAlignment="1">
      <alignment horizontal="center" vertical="center"/>
    </xf>
    <xf numFmtId="2" fontId="35" fillId="3" borderId="16" xfId="0" applyNumberFormat="1" applyFont="1" applyFill="1" applyBorder="1" applyAlignment="1">
      <alignment horizontal="center" vertical="center" wrapText="1"/>
    </xf>
    <xf numFmtId="2" fontId="35" fillId="3" borderId="8" xfId="0" applyNumberFormat="1" applyFont="1" applyFill="1" applyBorder="1" applyAlignment="1">
      <alignment horizontal="center" vertical="center" wrapText="1"/>
    </xf>
    <xf numFmtId="2" fontId="35" fillId="3" borderId="12" xfId="0" applyNumberFormat="1" applyFont="1" applyFill="1" applyBorder="1" applyAlignment="1">
      <alignment horizontal="center" vertical="center" wrapText="1"/>
    </xf>
    <xf numFmtId="2" fontId="35" fillId="3" borderId="11" xfId="2" applyNumberFormat="1" applyFont="1" applyFill="1" applyBorder="1" applyAlignment="1">
      <alignment horizontal="center" vertical="center"/>
    </xf>
    <xf numFmtId="2" fontId="35" fillId="3" borderId="65" xfId="2" applyNumberFormat="1" applyFont="1" applyFill="1" applyBorder="1" applyAlignment="1">
      <alignment horizontal="center"/>
    </xf>
    <xf numFmtId="2" fontId="35" fillId="3" borderId="12" xfId="2" applyNumberFormat="1" applyFont="1" applyFill="1" applyBorder="1" applyAlignment="1">
      <alignment horizontal="center" vertical="center"/>
    </xf>
    <xf numFmtId="2" fontId="44" fillId="4" borderId="1" xfId="2" applyNumberFormat="1" applyFont="1" applyFill="1" applyBorder="1" applyAlignment="1">
      <alignment horizontal="center" vertical="top" wrapText="1"/>
    </xf>
    <xf numFmtId="2" fontId="44" fillId="4" borderId="3" xfId="2" applyNumberFormat="1" applyFont="1" applyFill="1" applyBorder="1" applyAlignment="1">
      <alignment horizontal="center" vertical="top" wrapText="1"/>
    </xf>
    <xf numFmtId="2" fontId="44" fillId="4" borderId="4" xfId="2" applyNumberFormat="1" applyFont="1" applyFill="1" applyBorder="1" applyAlignment="1">
      <alignment horizontal="center" vertical="top" wrapText="1"/>
    </xf>
    <xf numFmtId="2" fontId="44" fillId="4" borderId="5" xfId="2" applyNumberFormat="1" applyFont="1" applyFill="1" applyBorder="1" applyAlignment="1">
      <alignment horizontal="center" vertical="top" wrapText="1"/>
    </xf>
    <xf numFmtId="2" fontId="44" fillId="4" borderId="6" xfId="2" applyNumberFormat="1" applyFont="1" applyFill="1" applyBorder="1" applyAlignment="1">
      <alignment horizontal="center" vertical="top" wrapText="1"/>
    </xf>
    <xf numFmtId="2" fontId="44" fillId="4" borderId="7" xfId="2" applyNumberFormat="1" applyFont="1" applyFill="1" applyBorder="1" applyAlignment="1">
      <alignment horizontal="center" vertical="top" wrapText="1"/>
    </xf>
    <xf numFmtId="2" fontId="44" fillId="4" borderId="58" xfId="2" applyNumberFormat="1" applyFont="1" applyFill="1" applyBorder="1" applyAlignment="1">
      <alignment horizontal="center" vertical="top" wrapText="1"/>
    </xf>
    <xf numFmtId="2" fontId="44" fillId="4" borderId="59" xfId="2" applyNumberFormat="1" applyFont="1" applyFill="1" applyBorder="1" applyAlignment="1">
      <alignment horizontal="center" vertical="top" wrapText="1"/>
    </xf>
    <xf numFmtId="2" fontId="44" fillId="4" borderId="23" xfId="2" applyNumberFormat="1" applyFont="1" applyFill="1" applyBorder="1" applyAlignment="1">
      <alignment horizontal="center" vertical="top" wrapText="1"/>
    </xf>
    <xf numFmtId="0" fontId="35" fillId="0" borderId="30" xfId="0" applyFont="1" applyFill="1" applyBorder="1" applyAlignment="1">
      <alignment horizontal="center" wrapText="1"/>
    </xf>
    <xf numFmtId="0" fontId="35" fillId="0" borderId="28" xfId="0" applyFont="1" applyFill="1" applyBorder="1" applyAlignment="1">
      <alignment horizontal="center" wrapText="1"/>
    </xf>
    <xf numFmtId="2" fontId="35" fillId="2" borderId="18" xfId="0" applyNumberFormat="1" applyFont="1" applyFill="1" applyBorder="1" applyAlignment="1">
      <alignment horizontal="center" vertical="center" wrapText="1"/>
    </xf>
    <xf numFmtId="2" fontId="35" fillId="2" borderId="46" xfId="0" applyNumberFormat="1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right" vertical="center" wrapText="1"/>
    </xf>
    <xf numFmtId="2" fontId="48" fillId="2" borderId="17" xfId="0" applyNumberFormat="1" applyFont="1" applyFill="1" applyBorder="1" applyAlignment="1">
      <alignment horizontal="center" vertical="center" wrapText="1"/>
    </xf>
    <xf numFmtId="2" fontId="48" fillId="2" borderId="39" xfId="0" applyNumberFormat="1" applyFont="1" applyFill="1" applyBorder="1" applyAlignment="1">
      <alignment horizontal="center" vertical="center" wrapText="1"/>
    </xf>
    <xf numFmtId="2" fontId="48" fillId="3" borderId="38" xfId="0" applyNumberFormat="1" applyFont="1" applyFill="1" applyBorder="1" applyAlignment="1">
      <alignment horizontal="center" vertical="center" wrapText="1"/>
    </xf>
    <xf numFmtId="2" fontId="48" fillId="3" borderId="46" xfId="0" applyNumberFormat="1" applyFont="1" applyFill="1" applyBorder="1" applyAlignment="1">
      <alignment horizontal="center" vertical="center" wrapText="1"/>
    </xf>
    <xf numFmtId="2" fontId="48" fillId="3" borderId="39" xfId="2" applyNumberFormat="1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right" vertical="top" wrapText="1"/>
    </xf>
    <xf numFmtId="2" fontId="51" fillId="2" borderId="14" xfId="0" applyNumberFormat="1" applyFont="1" applyFill="1" applyBorder="1" applyAlignment="1">
      <alignment horizontal="left" vertical="center" wrapText="1"/>
    </xf>
    <xf numFmtId="0" fontId="52" fillId="0" borderId="0" xfId="0" applyFont="1" applyFill="1"/>
    <xf numFmtId="2" fontId="48" fillId="0" borderId="10" xfId="0" applyNumberFormat="1" applyFont="1" applyFill="1" applyBorder="1" applyAlignment="1">
      <alignment horizontal="center" vertical="center" wrapText="1"/>
    </xf>
    <xf numFmtId="2" fontId="48" fillId="0" borderId="53" xfId="0" applyNumberFormat="1" applyFont="1" applyFill="1" applyBorder="1" applyAlignment="1">
      <alignment horizontal="center" vertical="center" wrapText="1"/>
    </xf>
    <xf numFmtId="2" fontId="48" fillId="3" borderId="8" xfId="0" applyNumberFormat="1" applyFont="1" applyFill="1" applyBorder="1" applyAlignment="1">
      <alignment horizontal="center" vertical="center" wrapText="1"/>
    </xf>
    <xf numFmtId="2" fontId="48" fillId="3" borderId="10" xfId="0" applyNumberFormat="1" applyFont="1" applyFill="1" applyBorder="1" applyAlignment="1">
      <alignment horizontal="center" vertical="center" wrapText="1"/>
    </xf>
    <xf numFmtId="2" fontId="48" fillId="3" borderId="11" xfId="2" applyNumberFormat="1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top" wrapText="1"/>
    </xf>
    <xf numFmtId="0" fontId="51" fillId="0" borderId="31" xfId="0" applyFont="1" applyFill="1" applyBorder="1" applyAlignment="1">
      <alignment horizontal="left" vertical="top" wrapText="1"/>
    </xf>
    <xf numFmtId="0" fontId="44" fillId="3" borderId="52" xfId="0" applyFont="1" applyFill="1" applyBorder="1" applyAlignment="1">
      <alignment horizontal="left" vertical="center" wrapText="1"/>
    </xf>
    <xf numFmtId="2" fontId="44" fillId="3" borderId="67" xfId="2" applyNumberFormat="1" applyFont="1" applyFill="1" applyBorder="1" applyAlignment="1">
      <alignment horizontal="center" vertical="center"/>
    </xf>
    <xf numFmtId="2" fontId="44" fillId="3" borderId="62" xfId="2" applyNumberFormat="1" applyFont="1" applyFill="1" applyBorder="1" applyAlignment="1">
      <alignment horizontal="center" vertical="center"/>
    </xf>
    <xf numFmtId="0" fontId="35" fillId="3" borderId="67" xfId="0" applyFont="1" applyFill="1" applyBorder="1" applyAlignment="1">
      <alignment horizontal="center" vertical="center" wrapText="1"/>
    </xf>
    <xf numFmtId="0" fontId="35" fillId="3" borderId="67" xfId="0" applyFont="1" applyFill="1" applyBorder="1" applyAlignment="1">
      <alignment wrapText="1"/>
    </xf>
    <xf numFmtId="0" fontId="44" fillId="3" borderId="52" xfId="0" applyFont="1" applyFill="1" applyBorder="1" applyAlignment="1">
      <alignment vertical="center"/>
    </xf>
    <xf numFmtId="2" fontId="35" fillId="0" borderId="29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34" fillId="0" borderId="13" xfId="0" applyFont="1" applyBorder="1" applyAlignment="1">
      <alignment horizontal="center"/>
    </xf>
    <xf numFmtId="0" fontId="36" fillId="0" borderId="10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33" fillId="0" borderId="14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left" wrapText="1"/>
    </xf>
    <xf numFmtId="0" fontId="44" fillId="2" borderId="0" xfId="0" applyFont="1" applyFill="1" applyBorder="1" applyAlignment="1">
      <alignment horizontal="center" wrapText="1"/>
    </xf>
    <xf numFmtId="0" fontId="53" fillId="2" borderId="0" xfId="0" applyFont="1" applyFill="1" applyBorder="1" applyAlignment="1">
      <alignment horizontal="center" wrapText="1"/>
    </xf>
    <xf numFmtId="0" fontId="54" fillId="2" borderId="0" xfId="0" applyFont="1" applyFill="1" applyAlignment="1">
      <alignment horizontal="center" vertical="top"/>
    </xf>
    <xf numFmtId="0" fontId="54" fillId="2" borderId="0" xfId="0" applyFont="1" applyFill="1" applyBorder="1" applyAlignment="1">
      <alignment horizontal="center" vertical="top"/>
    </xf>
    <xf numFmtId="0" fontId="54" fillId="2" borderId="0" xfId="0" applyFont="1" applyFill="1" applyBorder="1" applyAlignment="1">
      <alignment horizontal="center" vertical="top" wrapText="1"/>
    </xf>
    <xf numFmtId="0" fontId="44" fillId="2" borderId="0" xfId="0" applyFont="1" applyFill="1" applyBorder="1" applyAlignment="1">
      <alignment horizontal="center" vertical="center" wrapText="1"/>
    </xf>
    <xf numFmtId="0" fontId="53" fillId="2" borderId="0" xfId="0" applyFont="1" applyFill="1" applyBorder="1" applyAlignment="1">
      <alignment horizontal="center" vertical="center" wrapText="1"/>
    </xf>
    <xf numFmtId="0" fontId="53" fillId="2" borderId="0" xfId="0" applyFont="1" applyFill="1" applyAlignment="1">
      <alignment horizontal="center" vertical="center"/>
    </xf>
    <xf numFmtId="0" fontId="53" fillId="2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35" fillId="0" borderId="28" xfId="0" applyFont="1" applyFill="1" applyBorder="1" applyAlignment="1">
      <alignment horizontal="center" vertical="top"/>
    </xf>
    <xf numFmtId="0" fontId="35" fillId="0" borderId="2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3"/>
  <sheetViews>
    <sheetView workbookViewId="0">
      <selection activeCell="E14" sqref="E14"/>
    </sheetView>
  </sheetViews>
  <sheetFormatPr defaultRowHeight="12.75" x14ac:dyDescent="0.2"/>
  <cols>
    <col min="1" max="1" width="18.7109375" customWidth="1"/>
    <col min="2" max="2" width="42" customWidth="1"/>
    <col min="4" max="4" width="19.42578125" customWidth="1"/>
    <col min="5" max="5" width="22.42578125" customWidth="1"/>
    <col min="6" max="6" width="20.140625" customWidth="1"/>
    <col min="8" max="8" width="12.28515625" customWidth="1"/>
  </cols>
  <sheetData>
    <row r="1" spans="1:8" x14ac:dyDescent="0.2">
      <c r="A1" s="1" t="s">
        <v>48</v>
      </c>
      <c r="B1" s="1" t="s">
        <v>52</v>
      </c>
      <c r="C1" s="1"/>
      <c r="D1" s="1"/>
      <c r="E1" s="2"/>
      <c r="F1" s="1"/>
      <c r="G1" s="1"/>
      <c r="H1" s="1"/>
    </row>
    <row r="2" spans="1:8" x14ac:dyDescent="0.2">
      <c r="A2" s="1" t="s">
        <v>44</v>
      </c>
      <c r="B2" s="1"/>
      <c r="C2" s="1"/>
      <c r="D2" s="1"/>
      <c r="E2" s="2"/>
      <c r="F2" s="1"/>
      <c r="G2" s="1"/>
      <c r="H2" s="1"/>
    </row>
    <row r="3" spans="1:8" x14ac:dyDescent="0.2">
      <c r="A3" s="1" t="s">
        <v>45</v>
      </c>
      <c r="B3" s="1" t="s">
        <v>51</v>
      </c>
      <c r="C3" s="1"/>
      <c r="D3" s="1"/>
      <c r="E3" s="2"/>
      <c r="F3" s="1"/>
      <c r="G3" s="1"/>
      <c r="H3" s="1"/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x14ac:dyDescent="0.2">
      <c r="A5" s="1"/>
      <c r="B5" s="1" t="s">
        <v>6</v>
      </c>
      <c r="C5" s="1"/>
      <c r="D5" s="1"/>
      <c r="E5" s="2"/>
      <c r="F5" s="1"/>
      <c r="G5" s="1"/>
      <c r="H5" s="1"/>
    </row>
    <row r="6" spans="1:8" x14ac:dyDescent="0.2">
      <c r="A6" s="1"/>
      <c r="B6" s="48" t="s">
        <v>55</v>
      </c>
      <c r="C6" s="1"/>
      <c r="D6" s="1"/>
      <c r="E6" s="2"/>
      <c r="F6" s="1"/>
      <c r="G6" s="1"/>
      <c r="H6" s="1"/>
    </row>
    <row r="7" spans="1:8" x14ac:dyDescent="0.2">
      <c r="A7" s="1"/>
      <c r="B7" s="1"/>
      <c r="C7" s="1"/>
      <c r="D7" s="1"/>
      <c r="E7" s="1"/>
      <c r="F7" s="1"/>
      <c r="G7" s="1"/>
      <c r="H7" s="1"/>
    </row>
    <row r="8" spans="1:8" x14ac:dyDescent="0.2">
      <c r="A8" s="1"/>
      <c r="B8" s="1" t="s">
        <v>46</v>
      </c>
      <c r="C8" s="3"/>
      <c r="D8" s="48" t="s">
        <v>53</v>
      </c>
      <c r="E8" s="2" t="s">
        <v>37</v>
      </c>
      <c r="F8" s="3"/>
      <c r="G8" s="3"/>
      <c r="H8" s="1"/>
    </row>
    <row r="9" spans="1:8" x14ac:dyDescent="0.2">
      <c r="A9" s="1"/>
      <c r="B9" s="1" t="s">
        <v>39</v>
      </c>
      <c r="C9" s="3"/>
      <c r="D9" s="1" t="s">
        <v>32</v>
      </c>
      <c r="E9" s="2"/>
      <c r="F9" s="3"/>
      <c r="G9" s="3"/>
      <c r="H9" s="1"/>
    </row>
    <row r="10" spans="1:8" x14ac:dyDescent="0.2">
      <c r="A10" s="1"/>
      <c r="B10" s="1" t="s">
        <v>36</v>
      </c>
      <c r="C10" s="3"/>
      <c r="D10" s="1">
        <v>32</v>
      </c>
      <c r="E10" s="2" t="s">
        <v>38</v>
      </c>
      <c r="F10" s="3">
        <v>95</v>
      </c>
      <c r="G10" s="3"/>
      <c r="H10" s="1"/>
    </row>
    <row r="11" spans="1:8" ht="13.5" thickBot="1" x14ac:dyDescent="0.25">
      <c r="A11" s="1"/>
      <c r="B11" s="1" t="s">
        <v>54</v>
      </c>
      <c r="C11" s="1"/>
      <c r="D11" s="1"/>
      <c r="E11" s="2"/>
      <c r="F11" s="1"/>
      <c r="G11" s="1"/>
      <c r="H11" s="1"/>
    </row>
    <row r="12" spans="1:8" x14ac:dyDescent="0.2">
      <c r="A12" s="4" t="s">
        <v>30</v>
      </c>
      <c r="B12" s="5" t="s">
        <v>1</v>
      </c>
      <c r="C12" s="6" t="s">
        <v>2</v>
      </c>
      <c r="D12" s="7" t="s">
        <v>4</v>
      </c>
      <c r="E12" s="8" t="s">
        <v>33</v>
      </c>
      <c r="F12" s="9"/>
      <c r="G12" s="9"/>
      <c r="H12" s="10"/>
    </row>
    <row r="13" spans="1:8" x14ac:dyDescent="0.2">
      <c r="A13" s="11" t="s">
        <v>31</v>
      </c>
      <c r="B13" s="12"/>
      <c r="C13" s="13" t="s">
        <v>3</v>
      </c>
      <c r="D13" s="14" t="s">
        <v>5</v>
      </c>
      <c r="E13" s="15" t="s">
        <v>34</v>
      </c>
      <c r="F13" s="14" t="s">
        <v>49</v>
      </c>
      <c r="G13" s="14"/>
      <c r="H13" s="16" t="s">
        <v>42</v>
      </c>
    </row>
    <row r="14" spans="1:8" x14ac:dyDescent="0.2">
      <c r="A14" s="11"/>
      <c r="B14" s="12"/>
      <c r="C14" s="13"/>
      <c r="D14" s="14"/>
      <c r="E14" s="15" t="s">
        <v>40</v>
      </c>
      <c r="F14" s="14" t="s">
        <v>50</v>
      </c>
      <c r="G14" s="14"/>
      <c r="H14" s="16" t="s">
        <v>41</v>
      </c>
    </row>
    <row r="15" spans="1:8" x14ac:dyDescent="0.2">
      <c r="A15" s="17">
        <v>1</v>
      </c>
      <c r="B15" s="18" t="s">
        <v>22</v>
      </c>
      <c r="C15" s="19"/>
      <c r="D15" s="20"/>
      <c r="E15" s="21"/>
      <c r="F15" s="20"/>
      <c r="G15" s="20"/>
      <c r="H15" s="22"/>
    </row>
    <row r="16" spans="1:8" x14ac:dyDescent="0.2">
      <c r="A16" s="23"/>
      <c r="B16" s="24" t="s">
        <v>23</v>
      </c>
      <c r="C16" s="25">
        <v>3.39</v>
      </c>
      <c r="D16" s="26" t="s">
        <v>16</v>
      </c>
      <c r="E16" s="27">
        <v>9831</v>
      </c>
      <c r="F16" s="26"/>
      <c r="G16" s="26"/>
      <c r="H16" s="28"/>
    </row>
    <row r="17" spans="1:8" x14ac:dyDescent="0.2">
      <c r="A17" s="11">
        <v>2</v>
      </c>
      <c r="B17" s="12" t="s">
        <v>24</v>
      </c>
      <c r="C17" s="29"/>
      <c r="D17" s="14"/>
      <c r="E17" s="30"/>
      <c r="F17" s="14"/>
      <c r="G17" s="14"/>
      <c r="H17" s="16"/>
    </row>
    <row r="18" spans="1:8" x14ac:dyDescent="0.2">
      <c r="A18" s="23"/>
      <c r="B18" s="24" t="s">
        <v>25</v>
      </c>
      <c r="C18" s="25">
        <v>4.57</v>
      </c>
      <c r="D18" s="26" t="s">
        <v>16</v>
      </c>
      <c r="E18" s="27">
        <v>13253</v>
      </c>
      <c r="F18" s="26"/>
      <c r="G18" s="26"/>
      <c r="H18" s="28"/>
    </row>
    <row r="19" spans="1:8" x14ac:dyDescent="0.2">
      <c r="A19" s="23">
        <v>3</v>
      </c>
      <c r="B19" s="24" t="s">
        <v>7</v>
      </c>
      <c r="C19" s="25">
        <v>1.29</v>
      </c>
      <c r="D19" s="26" t="s">
        <v>16</v>
      </c>
      <c r="E19" s="30">
        <v>3741</v>
      </c>
      <c r="F19" s="26"/>
      <c r="G19" s="26"/>
      <c r="H19" s="28"/>
    </row>
    <row r="20" spans="1:8" x14ac:dyDescent="0.2">
      <c r="A20" s="31">
        <v>4</v>
      </c>
      <c r="B20" s="32" t="s">
        <v>8</v>
      </c>
      <c r="C20" s="33">
        <v>0.89</v>
      </c>
      <c r="D20" s="34" t="s">
        <v>16</v>
      </c>
      <c r="E20" s="35"/>
      <c r="F20" s="34"/>
      <c r="G20" s="26"/>
      <c r="H20" s="28"/>
    </row>
    <row r="21" spans="1:8" x14ac:dyDescent="0.2">
      <c r="A21" s="31">
        <v>5</v>
      </c>
      <c r="B21" s="32" t="s">
        <v>9</v>
      </c>
      <c r="C21" s="49" t="s">
        <v>56</v>
      </c>
      <c r="D21" s="34" t="s">
        <v>16</v>
      </c>
      <c r="E21" s="35">
        <v>3683</v>
      </c>
      <c r="F21" s="34"/>
      <c r="G21" s="26"/>
      <c r="H21" s="28"/>
    </row>
    <row r="22" spans="1:8" x14ac:dyDescent="0.2">
      <c r="A22" s="31">
        <v>6</v>
      </c>
      <c r="B22" s="32" t="s">
        <v>26</v>
      </c>
      <c r="C22" s="33">
        <v>2.9</v>
      </c>
      <c r="D22" s="34" t="s">
        <v>16</v>
      </c>
      <c r="E22" s="35">
        <v>4925</v>
      </c>
      <c r="F22" s="34"/>
      <c r="G22" s="26"/>
      <c r="H22" s="28"/>
    </row>
    <row r="23" spans="1:8" x14ac:dyDescent="0.2">
      <c r="A23" s="31">
        <v>7</v>
      </c>
      <c r="B23" s="32" t="s">
        <v>27</v>
      </c>
      <c r="C23" s="33"/>
      <c r="D23" s="34" t="s">
        <v>35</v>
      </c>
      <c r="E23" s="35"/>
      <c r="F23" s="34"/>
      <c r="G23" s="26"/>
      <c r="H23" s="28"/>
    </row>
    <row r="24" spans="1:8" x14ac:dyDescent="0.2">
      <c r="A24" s="31">
        <v>9</v>
      </c>
      <c r="B24" s="32" t="s">
        <v>10</v>
      </c>
      <c r="C24" s="33">
        <v>0.46</v>
      </c>
      <c r="D24" s="34" t="s">
        <v>18</v>
      </c>
      <c r="E24" s="35">
        <v>29256</v>
      </c>
      <c r="F24" s="36"/>
      <c r="G24" s="37"/>
      <c r="H24" s="28"/>
    </row>
    <row r="25" spans="1:8" x14ac:dyDescent="0.2">
      <c r="A25" s="31">
        <v>11</v>
      </c>
      <c r="B25" s="32" t="s">
        <v>43</v>
      </c>
      <c r="C25" s="33">
        <v>199.86</v>
      </c>
      <c r="D25" s="34" t="s">
        <v>11</v>
      </c>
      <c r="E25" s="35">
        <v>15533</v>
      </c>
      <c r="F25" s="36"/>
      <c r="G25" s="37"/>
      <c r="H25" s="28"/>
    </row>
    <row r="26" spans="1:8" x14ac:dyDescent="0.2">
      <c r="A26" s="31"/>
      <c r="B26" s="32" t="s">
        <v>28</v>
      </c>
      <c r="C26" s="33">
        <v>11.14</v>
      </c>
      <c r="D26" s="34" t="s">
        <v>29</v>
      </c>
      <c r="E26" s="35"/>
      <c r="F26" s="34"/>
      <c r="G26" s="26"/>
      <c r="H26" s="28"/>
    </row>
    <row r="27" spans="1:8" x14ac:dyDescent="0.2">
      <c r="A27" s="31">
        <v>12</v>
      </c>
      <c r="B27" s="32" t="s">
        <v>12</v>
      </c>
      <c r="C27" s="33">
        <v>217.69</v>
      </c>
      <c r="D27" s="34" t="s">
        <v>11</v>
      </c>
      <c r="E27" s="35">
        <v>16673</v>
      </c>
      <c r="F27" s="34"/>
      <c r="G27" s="26"/>
      <c r="H27" s="28"/>
    </row>
    <row r="28" spans="1:8" x14ac:dyDescent="0.2">
      <c r="A28" s="31"/>
      <c r="B28" s="32" t="s">
        <v>28</v>
      </c>
      <c r="C28" s="33">
        <v>47.74</v>
      </c>
      <c r="D28" s="34" t="s">
        <v>29</v>
      </c>
      <c r="E28" s="35"/>
      <c r="F28" s="34"/>
      <c r="G28" s="26"/>
      <c r="H28" s="28"/>
    </row>
    <row r="29" spans="1:8" x14ac:dyDescent="0.2">
      <c r="A29" s="31">
        <v>13</v>
      </c>
      <c r="B29" s="32" t="s">
        <v>13</v>
      </c>
      <c r="C29" s="33">
        <v>13.29</v>
      </c>
      <c r="D29" s="34" t="s">
        <v>16</v>
      </c>
      <c r="E29" s="35">
        <v>861635.34</v>
      </c>
      <c r="F29" s="34"/>
      <c r="G29" s="26"/>
      <c r="H29" s="28"/>
    </row>
    <row r="30" spans="1:8" x14ac:dyDescent="0.2">
      <c r="A30" s="31">
        <v>14</v>
      </c>
      <c r="B30" s="32" t="s">
        <v>14</v>
      </c>
      <c r="C30" s="33">
        <v>28.08</v>
      </c>
      <c r="D30" s="34" t="s">
        <v>11</v>
      </c>
      <c r="E30" s="35">
        <v>0</v>
      </c>
      <c r="F30" s="34"/>
      <c r="G30" s="26"/>
      <c r="H30" s="28"/>
    </row>
    <row r="31" spans="1:8" x14ac:dyDescent="0.2">
      <c r="A31" s="31">
        <v>15</v>
      </c>
      <c r="B31" s="32" t="s">
        <v>0</v>
      </c>
      <c r="C31" s="33">
        <v>28</v>
      </c>
      <c r="D31" s="34" t="s">
        <v>18</v>
      </c>
      <c r="E31" s="35">
        <v>25056</v>
      </c>
      <c r="F31" s="34"/>
      <c r="G31" s="26"/>
      <c r="H31" s="28"/>
    </row>
    <row r="32" spans="1:8" x14ac:dyDescent="0.2">
      <c r="A32" s="31">
        <v>16</v>
      </c>
      <c r="B32" s="32" t="s">
        <v>15</v>
      </c>
      <c r="C32" s="33">
        <v>111</v>
      </c>
      <c r="D32" s="34" t="s">
        <v>18</v>
      </c>
      <c r="E32" s="35">
        <v>56700</v>
      </c>
      <c r="F32" s="34"/>
      <c r="G32" s="26"/>
      <c r="H32" s="28"/>
    </row>
    <row r="33" spans="1:8" x14ac:dyDescent="0.2">
      <c r="A33" s="31">
        <v>17</v>
      </c>
      <c r="B33" s="32" t="s">
        <v>17</v>
      </c>
      <c r="C33" s="50" t="s">
        <v>56</v>
      </c>
      <c r="D33" s="34" t="s">
        <v>18</v>
      </c>
      <c r="E33" s="35">
        <v>71997.070000000007</v>
      </c>
      <c r="F33" s="34"/>
      <c r="G33" s="26"/>
      <c r="H33" s="28"/>
    </row>
    <row r="34" spans="1:8" x14ac:dyDescent="0.2">
      <c r="A34" s="31">
        <v>18</v>
      </c>
      <c r="B34" s="32" t="s">
        <v>19</v>
      </c>
      <c r="C34" s="51" t="s">
        <v>56</v>
      </c>
      <c r="D34" s="34" t="s">
        <v>16</v>
      </c>
      <c r="E34" s="35">
        <v>0</v>
      </c>
      <c r="F34" s="34"/>
      <c r="G34" s="26"/>
      <c r="H34" s="28"/>
    </row>
    <row r="35" spans="1:8" x14ac:dyDescent="0.2">
      <c r="A35" s="31">
        <v>19</v>
      </c>
      <c r="B35" s="52" t="s">
        <v>57</v>
      </c>
      <c r="C35" s="38">
        <v>0.2</v>
      </c>
      <c r="D35" s="34" t="s">
        <v>16</v>
      </c>
      <c r="E35" s="35">
        <v>6690.65</v>
      </c>
      <c r="F35" s="34"/>
      <c r="G35" s="26"/>
      <c r="H35" s="28"/>
    </row>
    <row r="36" spans="1:8" x14ac:dyDescent="0.2">
      <c r="A36" s="31">
        <v>20</v>
      </c>
      <c r="B36" s="32" t="s">
        <v>20</v>
      </c>
      <c r="C36" s="51" t="s">
        <v>56</v>
      </c>
      <c r="D36" s="34" t="s">
        <v>16</v>
      </c>
      <c r="E36" s="35">
        <v>0</v>
      </c>
      <c r="F36" s="34"/>
      <c r="G36" s="26"/>
      <c r="H36" s="28"/>
    </row>
    <row r="37" spans="1:8" x14ac:dyDescent="0.2">
      <c r="A37" s="31">
        <v>21</v>
      </c>
      <c r="B37" s="32" t="s">
        <v>21</v>
      </c>
      <c r="C37" s="51" t="s">
        <v>56</v>
      </c>
      <c r="D37" s="34" t="s">
        <v>18</v>
      </c>
      <c r="E37" s="35">
        <v>10394.36</v>
      </c>
      <c r="F37" s="34"/>
      <c r="G37" s="26"/>
      <c r="H37" s="28"/>
    </row>
    <row r="38" spans="1:8" ht="13.5" thickBot="1" x14ac:dyDescent="0.25">
      <c r="A38" s="39"/>
      <c r="B38" s="40"/>
      <c r="C38" s="41"/>
      <c r="D38" s="42"/>
      <c r="E38" s="43">
        <v>1129368.42</v>
      </c>
      <c r="F38" s="42"/>
      <c r="G38" s="44"/>
      <c r="H38" s="45"/>
    </row>
    <row r="39" spans="1:8" x14ac:dyDescent="0.2">
      <c r="A39" s="46">
        <v>22</v>
      </c>
      <c r="B39" s="1"/>
      <c r="C39" s="1"/>
      <c r="D39" s="12"/>
      <c r="E39" s="47"/>
      <c r="F39" s="12"/>
      <c r="G39" s="12"/>
      <c r="H39" s="1"/>
    </row>
    <row r="40" spans="1:8" x14ac:dyDescent="0.2">
      <c r="A40" s="1"/>
      <c r="B40" s="1"/>
      <c r="C40" s="1"/>
      <c r="D40" s="12"/>
      <c r="E40" s="47"/>
      <c r="F40" s="12"/>
      <c r="G40" s="12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 t="s">
        <v>47</v>
      </c>
      <c r="B43" s="1"/>
      <c r="C43" s="1"/>
      <c r="D43" s="1"/>
      <c r="E43" s="2"/>
      <c r="F43" s="1"/>
      <c r="G43" s="1"/>
      <c r="H43" s="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4"/>
  <sheetViews>
    <sheetView workbookViewId="0">
      <selection activeCell="K19" sqref="K19"/>
    </sheetView>
  </sheetViews>
  <sheetFormatPr defaultRowHeight="12.75" x14ac:dyDescent="0.2"/>
  <cols>
    <col min="2" max="2" width="32.7109375" customWidth="1"/>
    <col min="3" max="3" width="11.28515625" customWidth="1"/>
  </cols>
  <sheetData>
    <row r="2" spans="1:21" s="203" customFormat="1" ht="18" customHeight="1" x14ac:dyDescent="0.25">
      <c r="A2" s="216" t="s">
        <v>205</v>
      </c>
      <c r="B2" s="200"/>
      <c r="C2" s="202"/>
      <c r="D2" s="202"/>
      <c r="E2" s="214"/>
      <c r="F2" s="206"/>
      <c r="G2" s="215"/>
      <c r="H2" s="206"/>
      <c r="I2" s="214" t="s">
        <v>209</v>
      </c>
      <c r="J2" s="206"/>
      <c r="K2" s="202"/>
      <c r="L2" s="202"/>
      <c r="M2" s="200"/>
      <c r="N2" s="202"/>
      <c r="O2" s="202"/>
      <c r="P2" s="200"/>
      <c r="Q2" s="200"/>
      <c r="R2" s="200"/>
      <c r="S2" s="202"/>
      <c r="T2" s="206"/>
      <c r="U2" s="210"/>
    </row>
    <row r="3" spans="1:21" s="203" customFormat="1" ht="30" customHeight="1" x14ac:dyDescent="0.25">
      <c r="A3" s="200"/>
      <c r="B3" s="201"/>
      <c r="C3" s="202"/>
      <c r="D3" s="202"/>
      <c r="E3" s="200"/>
      <c r="F3" s="206"/>
      <c r="G3" s="209"/>
      <c r="H3" s="206"/>
      <c r="I3" s="209"/>
      <c r="J3" s="206"/>
      <c r="K3" s="202"/>
      <c r="L3" s="202"/>
      <c r="M3" s="200"/>
      <c r="N3" s="202"/>
      <c r="O3" s="202"/>
      <c r="P3" s="200"/>
      <c r="Q3" s="200"/>
      <c r="R3" s="200"/>
      <c r="S3" s="202"/>
      <c r="T3" s="206"/>
      <c r="U3" s="210"/>
    </row>
    <row r="4" spans="1:21" s="195" customFormat="1" ht="18.75" customHeight="1" x14ac:dyDescent="0.25">
      <c r="A4" s="194"/>
      <c r="B4" s="196"/>
      <c r="C4" s="191"/>
      <c r="D4" s="191"/>
      <c r="E4" s="194"/>
      <c r="F4" s="207"/>
      <c r="G4" s="209"/>
      <c r="H4" s="207"/>
      <c r="I4" s="209"/>
      <c r="J4" s="207"/>
      <c r="K4" s="191"/>
      <c r="L4" s="191"/>
      <c r="M4" s="194"/>
      <c r="N4" s="191"/>
      <c r="O4" s="191"/>
      <c r="P4" s="194"/>
      <c r="Q4" s="194"/>
      <c r="R4" s="194"/>
      <c r="S4" s="191"/>
      <c r="T4" s="207"/>
      <c r="U4" s="211"/>
    </row>
    <row r="5" spans="1:21" s="195" customFormat="1" x14ac:dyDescent="0.2">
      <c r="A5" s="194"/>
      <c r="B5" s="213" t="s">
        <v>210</v>
      </c>
      <c r="C5" s="219"/>
      <c r="D5" s="194"/>
      <c r="E5" s="193"/>
      <c r="F5" s="207"/>
      <c r="G5" s="209"/>
      <c r="H5" s="207"/>
      <c r="I5" s="209"/>
      <c r="J5" s="207"/>
      <c r="K5" s="191"/>
      <c r="L5" s="191"/>
      <c r="M5" s="194"/>
      <c r="N5" s="191"/>
      <c r="O5" s="191"/>
      <c r="P5" s="194"/>
      <c r="Q5" s="194"/>
      <c r="R5" s="194"/>
      <c r="S5" s="191"/>
      <c r="T5" s="207"/>
      <c r="U5" s="211"/>
    </row>
    <row r="6" spans="1:21" s="199" customFormat="1" ht="18" customHeight="1" x14ac:dyDescent="0.2">
      <c r="A6" s="197"/>
      <c r="B6" s="213" t="s">
        <v>36</v>
      </c>
      <c r="C6" s="220">
        <v>108</v>
      </c>
      <c r="D6" s="198"/>
      <c r="E6" s="197"/>
      <c r="F6" s="208"/>
      <c r="G6" s="209"/>
      <c r="H6" s="208"/>
      <c r="I6" s="209"/>
      <c r="J6" s="208"/>
      <c r="K6" s="192"/>
      <c r="L6" s="192"/>
      <c r="M6" s="197"/>
      <c r="N6" s="192"/>
      <c r="O6" s="192"/>
      <c r="P6" s="197"/>
      <c r="Q6" s="197"/>
      <c r="R6" s="197"/>
      <c r="S6" s="192"/>
      <c r="T6" s="208"/>
      <c r="U6" s="212"/>
    </row>
    <row r="15" spans="1:21" ht="35.25" customHeight="1" x14ac:dyDescent="0.4">
      <c r="C15" s="217" t="s">
        <v>198</v>
      </c>
    </row>
    <row r="18" spans="3:3" ht="20.25" x14ac:dyDescent="0.3">
      <c r="C18" s="218"/>
    </row>
    <row r="33" spans="2:2" x14ac:dyDescent="0.2">
      <c r="B33" s="204"/>
    </row>
    <row r="34" spans="2:2" x14ac:dyDescent="0.2">
      <c r="B34" s="205"/>
    </row>
  </sheetData>
  <phoneticPr fontId="13" type="noConversion"/>
  <pageMargins left="0.75" right="0.75" top="1" bottom="1" header="0.5" footer="0.5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S51"/>
  <sheetViews>
    <sheetView topLeftCell="C1" zoomScale="125" workbookViewId="0">
      <selection activeCell="R13" sqref="R13:S13"/>
    </sheetView>
  </sheetViews>
  <sheetFormatPr defaultRowHeight="12.75" x14ac:dyDescent="0.2"/>
  <cols>
    <col min="1" max="1" width="3.28515625" customWidth="1"/>
    <col min="2" max="2" width="26.5703125" customWidth="1"/>
    <col min="3" max="4" width="10.5703125" style="53" customWidth="1"/>
    <col min="5" max="5" width="8.85546875" customWidth="1"/>
    <col min="6" max="6" width="11.85546875" style="53" customWidth="1"/>
    <col min="7" max="7" width="12.140625" style="53" customWidth="1"/>
    <col min="8" max="8" width="1" style="55" customWidth="1"/>
    <col min="9" max="9" width="1.28515625" style="55" customWidth="1"/>
    <col min="10" max="11" width="1" style="55" customWidth="1"/>
    <col min="12" max="12" width="12.7109375" customWidth="1"/>
    <col min="13" max="13" width="1.140625" style="53" customWidth="1"/>
    <col min="14" max="14" width="0.7109375" style="53" customWidth="1"/>
    <col min="15" max="15" width="16.85546875" customWidth="1"/>
    <col min="16" max="16" width="10.85546875" customWidth="1"/>
    <col min="17" max="17" width="9.7109375" style="53" customWidth="1"/>
    <col min="18" max="18" width="11.28515625" style="53" customWidth="1"/>
    <col min="19" max="19" width="11.28515625" bestFit="1" customWidth="1"/>
  </cols>
  <sheetData>
    <row r="1" spans="1:19" s="58" customFormat="1" ht="18" customHeight="1" x14ac:dyDescent="0.35">
      <c r="A1" s="56" t="s">
        <v>145</v>
      </c>
      <c r="B1" s="56"/>
      <c r="C1" s="54"/>
      <c r="D1" s="54"/>
      <c r="E1" s="56"/>
      <c r="F1" s="54" t="s">
        <v>146</v>
      </c>
      <c r="G1" s="57"/>
      <c r="H1" s="54"/>
      <c r="I1" s="54"/>
      <c r="J1" s="54"/>
      <c r="K1" s="54"/>
      <c r="L1" s="56"/>
      <c r="M1" s="54"/>
      <c r="N1" s="54"/>
      <c r="O1" s="56"/>
      <c r="P1" s="56"/>
      <c r="Q1" s="54"/>
      <c r="R1" s="54"/>
      <c r="S1" s="56"/>
    </row>
    <row r="2" spans="1:19" s="58" customFormat="1" ht="18.75" customHeight="1" x14ac:dyDescent="0.25">
      <c r="A2" s="56"/>
      <c r="B2" s="133" t="s">
        <v>124</v>
      </c>
      <c r="C2" s="54"/>
      <c r="D2" s="54"/>
      <c r="E2" s="56"/>
      <c r="F2" s="54"/>
      <c r="G2" s="57"/>
      <c r="H2" s="54"/>
      <c r="I2" s="54"/>
      <c r="J2" s="54"/>
      <c r="K2" s="54"/>
      <c r="L2" s="56"/>
      <c r="M2" s="54"/>
      <c r="N2" s="54"/>
      <c r="O2" s="56"/>
      <c r="P2" s="56"/>
      <c r="Q2" s="54"/>
      <c r="R2" s="54"/>
      <c r="S2" s="56"/>
    </row>
    <row r="3" spans="1:19" s="58" customFormat="1" ht="12" x14ac:dyDescent="0.2">
      <c r="A3" s="56"/>
      <c r="B3" s="56" t="s">
        <v>58</v>
      </c>
      <c r="C3" s="59">
        <v>2437.6999999999998</v>
      </c>
      <c r="D3" s="59"/>
      <c r="E3" s="56" t="s">
        <v>32</v>
      </c>
      <c r="F3" s="59" t="s">
        <v>117</v>
      </c>
      <c r="G3" s="60">
        <v>79</v>
      </c>
      <c r="H3" s="54"/>
      <c r="I3" s="54"/>
      <c r="J3" s="54"/>
      <c r="K3" s="54"/>
      <c r="L3" s="56"/>
      <c r="M3" s="54"/>
      <c r="N3" s="54"/>
      <c r="O3" s="56"/>
      <c r="P3" s="56"/>
      <c r="Q3" s="54"/>
      <c r="R3" s="54"/>
      <c r="S3" s="56"/>
    </row>
    <row r="4" spans="1:19" s="76" customFormat="1" ht="12" thickBot="1" x14ac:dyDescent="0.25">
      <c r="A4" s="71"/>
      <c r="B4" s="71" t="s">
        <v>36</v>
      </c>
      <c r="C4" s="72">
        <v>31</v>
      </c>
      <c r="D4" s="73"/>
      <c r="E4" s="71"/>
      <c r="F4" s="74"/>
      <c r="G4" s="75"/>
      <c r="H4" s="74"/>
      <c r="I4" s="74"/>
      <c r="J4" s="74"/>
      <c r="K4" s="74"/>
      <c r="L4" s="71"/>
      <c r="M4" s="74"/>
      <c r="N4" s="74"/>
      <c r="O4" s="71"/>
      <c r="P4" s="71"/>
      <c r="Q4" s="74"/>
      <c r="R4" s="74"/>
      <c r="S4" s="71"/>
    </row>
    <row r="5" spans="1:19" s="76" customFormat="1" ht="11.25" x14ac:dyDescent="0.2">
      <c r="A5" s="77" t="s">
        <v>30</v>
      </c>
      <c r="B5" s="78" t="s">
        <v>1</v>
      </c>
      <c r="C5" s="65" t="s">
        <v>2</v>
      </c>
      <c r="D5" s="65" t="s">
        <v>2</v>
      </c>
      <c r="E5" s="79" t="s">
        <v>4</v>
      </c>
      <c r="F5" s="80" t="s">
        <v>33</v>
      </c>
      <c r="G5" s="80" t="s">
        <v>59</v>
      </c>
      <c r="H5" s="81"/>
      <c r="I5" s="81"/>
      <c r="J5" s="81"/>
      <c r="K5" s="81"/>
      <c r="L5" s="80" t="s">
        <v>59</v>
      </c>
      <c r="M5" s="81"/>
      <c r="N5" s="81"/>
      <c r="O5" s="82" t="s">
        <v>60</v>
      </c>
      <c r="P5" s="79" t="s">
        <v>61</v>
      </c>
      <c r="Q5" s="80" t="s">
        <v>62</v>
      </c>
      <c r="R5" s="83" t="s">
        <v>109</v>
      </c>
      <c r="S5" s="84" t="s">
        <v>63</v>
      </c>
    </row>
    <row r="6" spans="1:19" s="76" customFormat="1" ht="11.25" x14ac:dyDescent="0.2">
      <c r="A6" s="85" t="s">
        <v>31</v>
      </c>
      <c r="B6" s="86"/>
      <c r="C6" s="66" t="s">
        <v>3</v>
      </c>
      <c r="D6" s="66" t="s">
        <v>3</v>
      </c>
      <c r="E6" s="87" t="s">
        <v>5</v>
      </c>
      <c r="F6" s="88" t="s">
        <v>34</v>
      </c>
      <c r="G6" s="88" t="s">
        <v>91</v>
      </c>
      <c r="H6" s="89"/>
      <c r="I6" s="89"/>
      <c r="J6" s="89"/>
      <c r="K6" s="89"/>
      <c r="L6" s="88" t="s">
        <v>97</v>
      </c>
      <c r="M6" s="89"/>
      <c r="N6" s="89"/>
      <c r="O6" s="90" t="s">
        <v>64</v>
      </c>
      <c r="P6" s="91" t="s">
        <v>65</v>
      </c>
      <c r="Q6" s="88" t="s">
        <v>66</v>
      </c>
      <c r="R6" s="92" t="s">
        <v>110</v>
      </c>
      <c r="S6" s="93"/>
    </row>
    <row r="7" spans="1:19" s="76" customFormat="1" ht="11.25" x14ac:dyDescent="0.2">
      <c r="A7" s="85"/>
      <c r="B7" s="86"/>
      <c r="C7" s="67" t="s">
        <v>89</v>
      </c>
      <c r="D7" s="67" t="s">
        <v>90</v>
      </c>
      <c r="E7" s="87"/>
      <c r="F7" s="88" t="s">
        <v>40</v>
      </c>
      <c r="G7" s="88" t="s">
        <v>67</v>
      </c>
      <c r="H7" s="89" t="s">
        <v>68</v>
      </c>
      <c r="I7" s="89" t="s">
        <v>69</v>
      </c>
      <c r="J7" s="89" t="s">
        <v>70</v>
      </c>
      <c r="K7" s="89" t="s">
        <v>71</v>
      </c>
      <c r="L7" s="88" t="s">
        <v>67</v>
      </c>
      <c r="M7" s="89" t="s">
        <v>72</v>
      </c>
      <c r="N7" s="89" t="s">
        <v>73</v>
      </c>
      <c r="O7" s="94" t="s">
        <v>125</v>
      </c>
      <c r="P7" s="87"/>
      <c r="Q7" s="88" t="s">
        <v>74</v>
      </c>
      <c r="R7" s="92" t="s">
        <v>111</v>
      </c>
      <c r="S7" s="93"/>
    </row>
    <row r="8" spans="1:19" s="76" customFormat="1" ht="12" thickBot="1" x14ac:dyDescent="0.25">
      <c r="A8" s="95"/>
      <c r="B8" s="96"/>
      <c r="C8" s="68"/>
      <c r="D8" s="68"/>
      <c r="E8" s="97"/>
      <c r="F8" s="98" t="s">
        <v>123</v>
      </c>
      <c r="G8" s="98" t="s">
        <v>75</v>
      </c>
      <c r="H8" s="99"/>
      <c r="I8" s="99"/>
      <c r="J8" s="99"/>
      <c r="K8" s="99"/>
      <c r="L8" s="98" t="s">
        <v>75</v>
      </c>
      <c r="M8" s="99"/>
      <c r="N8" s="99"/>
      <c r="O8" s="100"/>
      <c r="P8" s="97"/>
      <c r="Q8" s="99" t="s">
        <v>34</v>
      </c>
      <c r="R8" s="101" t="s">
        <v>112</v>
      </c>
      <c r="S8" s="102"/>
    </row>
    <row r="9" spans="1:19" s="76" customFormat="1" ht="11.25" x14ac:dyDescent="0.2">
      <c r="A9" s="103">
        <v>1</v>
      </c>
      <c r="B9" s="138" t="s">
        <v>22</v>
      </c>
      <c r="C9" s="139"/>
      <c r="D9" s="139"/>
      <c r="E9" s="140"/>
      <c r="F9" s="81"/>
      <c r="G9" s="80">
        <f>SUM(H9:K9)</f>
        <v>33055.19</v>
      </c>
      <c r="H9" s="81">
        <f>6932.13+1056.06+275.61</f>
        <v>8263.8000000000011</v>
      </c>
      <c r="I9" s="81">
        <f>6757.38+1230.81+137.8+137.81</f>
        <v>8263.8000000000011</v>
      </c>
      <c r="J9" s="81">
        <f>6757.38+1230.81+137.8+137.8</f>
        <v>8263.7900000000009</v>
      </c>
      <c r="K9" s="81">
        <f>1230.81+137.8+6757.38+137.81</f>
        <v>8263.7999999999993</v>
      </c>
      <c r="L9" s="80">
        <f>M9+N9</f>
        <v>16527.599999999999</v>
      </c>
      <c r="M9" s="81">
        <f>7988.19+275.61</f>
        <v>8263.7999999999993</v>
      </c>
      <c r="N9" s="81">
        <f>7988.19+275.61</f>
        <v>8263.7999999999993</v>
      </c>
      <c r="O9" s="141" t="s">
        <v>76</v>
      </c>
      <c r="P9" s="140"/>
      <c r="Q9" s="81"/>
      <c r="R9" s="142"/>
      <c r="S9" s="143">
        <f>G9+L9-R10</f>
        <v>0</v>
      </c>
    </row>
    <row r="10" spans="1:19" s="76" customFormat="1" ht="12" thickBot="1" x14ac:dyDescent="0.25">
      <c r="A10" s="109"/>
      <c r="B10" s="144" t="s">
        <v>23</v>
      </c>
      <c r="C10" s="68">
        <v>3.39</v>
      </c>
      <c r="D10" s="68">
        <v>3.39</v>
      </c>
      <c r="E10" s="97" t="s">
        <v>92</v>
      </c>
      <c r="F10" s="145">
        <f>C3*C10</f>
        <v>8263.8029999999999</v>
      </c>
      <c r="G10" s="98"/>
      <c r="H10" s="99"/>
      <c r="I10" s="99"/>
      <c r="J10" s="99"/>
      <c r="K10" s="99">
        <v>0</v>
      </c>
      <c r="L10" s="98"/>
      <c r="M10" s="99"/>
      <c r="N10" s="99">
        <v>0</v>
      </c>
      <c r="O10" s="100"/>
      <c r="P10" s="97" t="s">
        <v>99</v>
      </c>
      <c r="Q10" s="99"/>
      <c r="R10" s="146">
        <v>49582.79</v>
      </c>
      <c r="S10" s="102"/>
    </row>
    <row r="11" spans="1:19" s="76" customFormat="1" ht="11.25" x14ac:dyDescent="0.2">
      <c r="A11" s="109">
        <v>2</v>
      </c>
      <c r="B11" s="138" t="s">
        <v>24</v>
      </c>
      <c r="C11" s="139"/>
      <c r="D11" s="139"/>
      <c r="E11" s="140"/>
      <c r="F11" s="81"/>
      <c r="G11" s="80">
        <f>SUM(H11:K11)</f>
        <v>44561.200000000004</v>
      </c>
      <c r="H11" s="81">
        <f>9345.09+1423.67+371.54</f>
        <v>11140.300000000001</v>
      </c>
      <c r="I11" s="81">
        <f>9109.51+1659.25+185.77+185.77</f>
        <v>11140.300000000001</v>
      </c>
      <c r="J11" s="81">
        <f>9109.51+185.77+1659.25+185.77</f>
        <v>11140.300000000001</v>
      </c>
      <c r="K11" s="81">
        <f>1659.25+9109.51+185.77+185.77</f>
        <v>11140.300000000001</v>
      </c>
      <c r="L11" s="80">
        <f>SUM(M11:N11)</f>
        <v>22280.6</v>
      </c>
      <c r="M11" s="81">
        <f>10768.76+371.54</f>
        <v>11140.300000000001</v>
      </c>
      <c r="N11" s="81">
        <v>11140.3</v>
      </c>
      <c r="O11" s="141" t="s">
        <v>76</v>
      </c>
      <c r="P11" s="140"/>
      <c r="Q11" s="81"/>
      <c r="R11" s="142"/>
      <c r="S11" s="143">
        <f>G11+L11-R12</f>
        <v>18941.800000000003</v>
      </c>
    </row>
    <row r="12" spans="1:19" s="76" customFormat="1" ht="12" thickBot="1" x14ac:dyDescent="0.25">
      <c r="A12" s="109"/>
      <c r="B12" s="144" t="s">
        <v>25</v>
      </c>
      <c r="C12" s="68">
        <v>4.57</v>
      </c>
      <c r="D12" s="68">
        <v>4.57</v>
      </c>
      <c r="E12" s="97" t="s">
        <v>92</v>
      </c>
      <c r="F12" s="145">
        <f>C3*C12</f>
        <v>11140.289000000001</v>
      </c>
      <c r="G12" s="98">
        <f>H12+I12+J12+K12</f>
        <v>0</v>
      </c>
      <c r="H12" s="99">
        <v>0</v>
      </c>
      <c r="I12" s="99">
        <v>0</v>
      </c>
      <c r="J12" s="99">
        <v>0</v>
      </c>
      <c r="K12" s="99">
        <v>0</v>
      </c>
      <c r="L12" s="98">
        <v>0</v>
      </c>
      <c r="M12" s="99"/>
      <c r="N12" s="99">
        <v>0</v>
      </c>
      <c r="O12" s="100"/>
      <c r="P12" s="147" t="s">
        <v>99</v>
      </c>
      <c r="Q12" s="99"/>
      <c r="R12" s="146">
        <f>C32+C33</f>
        <v>47900</v>
      </c>
      <c r="S12" s="102"/>
    </row>
    <row r="13" spans="1:19" s="76" customFormat="1" ht="11.25" x14ac:dyDescent="0.2">
      <c r="A13" s="109">
        <v>3</v>
      </c>
      <c r="B13" s="61" t="s">
        <v>95</v>
      </c>
      <c r="C13" s="69">
        <v>0.33</v>
      </c>
      <c r="D13" s="69">
        <v>0.33</v>
      </c>
      <c r="E13" s="104" t="s">
        <v>92</v>
      </c>
      <c r="F13" s="105">
        <f>C3*C13</f>
        <v>804.44100000000003</v>
      </c>
      <c r="G13" s="106">
        <f>SUM(H13:K13)</f>
        <v>3217.7599999999998</v>
      </c>
      <c r="H13" s="105">
        <f>674.81+102.8+26.83</f>
        <v>804.43999999999994</v>
      </c>
      <c r="I13" s="105">
        <f>657.8+119.81+13.41+13.42</f>
        <v>804.43999999999983</v>
      </c>
      <c r="J13" s="105">
        <f>119.81+657.8+13.41+13.42</f>
        <v>804.43999999999983</v>
      </c>
      <c r="K13" s="105">
        <f>13.41+119.81+657.8+13.42</f>
        <v>804.43999999999994</v>
      </c>
      <c r="L13" s="106">
        <f>SUM(M13:N13)</f>
        <v>1608.88</v>
      </c>
      <c r="M13" s="105">
        <f>777.61+26.83</f>
        <v>804.44</v>
      </c>
      <c r="N13" s="105">
        <v>804.44</v>
      </c>
      <c r="O13" s="107" t="s">
        <v>98</v>
      </c>
      <c r="P13" s="104" t="s">
        <v>107</v>
      </c>
      <c r="Q13" s="105">
        <v>800</v>
      </c>
      <c r="R13" s="108">
        <v>1600</v>
      </c>
      <c r="S13" s="135">
        <f>G13+L13-R13</f>
        <v>3226.6399999999994</v>
      </c>
    </row>
    <row r="14" spans="1:19" s="76" customFormat="1" ht="11.25" x14ac:dyDescent="0.2">
      <c r="A14" s="109">
        <v>4</v>
      </c>
      <c r="B14" s="62" t="s">
        <v>7</v>
      </c>
      <c r="C14" s="67">
        <v>1.29</v>
      </c>
      <c r="D14" s="67">
        <v>1.29</v>
      </c>
      <c r="E14" s="87" t="s">
        <v>92</v>
      </c>
      <c r="F14" s="110">
        <f>C3*C14</f>
        <v>3144.6329999999998</v>
      </c>
      <c r="G14" s="88">
        <f t="shared" ref="G14:G19" si="0">SUM(H14:K14)</f>
        <v>12578.52</v>
      </c>
      <c r="H14" s="89">
        <f>2637.9+401.85+104.88</f>
        <v>3144.63</v>
      </c>
      <c r="I14" s="89">
        <f>2571.4+468.35+52.44+52.44</f>
        <v>3144.63</v>
      </c>
      <c r="J14" s="89">
        <f>468.35+2571.4+52.44+52.44</f>
        <v>3144.63</v>
      </c>
      <c r="K14" s="89">
        <f>52.44+468.35+2571.4+52.44</f>
        <v>3144.63</v>
      </c>
      <c r="L14" s="88">
        <f>M14+N14</f>
        <v>6289.26</v>
      </c>
      <c r="M14" s="89">
        <f>3039.75+104.88</f>
        <v>3144.63</v>
      </c>
      <c r="N14" s="89">
        <v>3144.63</v>
      </c>
      <c r="O14" s="94" t="s">
        <v>76</v>
      </c>
      <c r="P14" s="87" t="s">
        <v>100</v>
      </c>
      <c r="Q14" s="89"/>
      <c r="R14" s="111">
        <v>18867.78</v>
      </c>
      <c r="S14" s="134">
        <f>G14+L14-R14</f>
        <v>0</v>
      </c>
    </row>
    <row r="15" spans="1:19" s="76" customFormat="1" ht="11.25" x14ac:dyDescent="0.2">
      <c r="A15" s="109">
        <v>5</v>
      </c>
      <c r="B15" s="62" t="s">
        <v>9</v>
      </c>
      <c r="C15" s="67">
        <v>1.27</v>
      </c>
      <c r="D15" s="67">
        <v>1.27</v>
      </c>
      <c r="E15" s="87" t="s">
        <v>92</v>
      </c>
      <c r="F15" s="110">
        <f>(C3-92)*C15</f>
        <v>2979.0389999999998</v>
      </c>
      <c r="G15" s="88">
        <f t="shared" si="0"/>
        <v>11916.24</v>
      </c>
      <c r="H15" s="89">
        <f>2480.18+395.63+103.25</f>
        <v>2979.06</v>
      </c>
      <c r="I15" s="89">
        <f>2414.71+461.1+51.63+51.62</f>
        <v>2979.06</v>
      </c>
      <c r="J15" s="89">
        <f>461.1+2414.71+51.63+51.62</f>
        <v>2979.06</v>
      </c>
      <c r="K15" s="89">
        <f>51.63+461.1+2414.71+51.62</f>
        <v>2979.06</v>
      </c>
      <c r="L15" s="88">
        <f>M15+N15</f>
        <v>5958.12</v>
      </c>
      <c r="M15" s="89">
        <f>2875.81+103.25</f>
        <v>2979.06</v>
      </c>
      <c r="N15" s="89">
        <v>2979.06</v>
      </c>
      <c r="O15" s="94" t="s">
        <v>76</v>
      </c>
      <c r="P15" s="87" t="s">
        <v>100</v>
      </c>
      <c r="Q15" s="89"/>
      <c r="R15" s="111">
        <v>17874.36</v>
      </c>
      <c r="S15" s="134">
        <f>G15+L15-R15</f>
        <v>0</v>
      </c>
    </row>
    <row r="16" spans="1:19" s="76" customFormat="1" ht="11.25" x14ac:dyDescent="0.2">
      <c r="A16" s="109">
        <v>6</v>
      </c>
      <c r="B16" s="62" t="s">
        <v>26</v>
      </c>
      <c r="C16" s="67">
        <v>2.9</v>
      </c>
      <c r="D16" s="67">
        <v>2.9</v>
      </c>
      <c r="E16" s="87" t="s">
        <v>92</v>
      </c>
      <c r="F16" s="110">
        <f>C3*C16</f>
        <v>7069.329999999999</v>
      </c>
      <c r="G16" s="88">
        <f t="shared" si="0"/>
        <v>28277.360000000001</v>
      </c>
      <c r="H16" s="89">
        <f>5930.13+903.44+235.77</f>
        <v>7069.34</v>
      </c>
      <c r="I16" s="89">
        <f>5780.63+1052.94+117.88+117.89</f>
        <v>7069.34</v>
      </c>
      <c r="J16" s="89">
        <f>1052.94+5780.63+117.88+117.89</f>
        <v>7069.34</v>
      </c>
      <c r="K16" s="89">
        <f>1052.94+117.88+5780.63+117.89</f>
        <v>7069.3400000000011</v>
      </c>
      <c r="L16" s="88">
        <f>SUM(M16:N16)</f>
        <v>14138.68</v>
      </c>
      <c r="M16" s="89">
        <f>6833.57+235.77</f>
        <v>7069.34</v>
      </c>
      <c r="N16" s="89">
        <v>7069.34</v>
      </c>
      <c r="O16" s="94" t="s">
        <v>114</v>
      </c>
      <c r="P16" s="87" t="s">
        <v>115</v>
      </c>
      <c r="Q16" s="89"/>
      <c r="R16" s="111"/>
      <c r="S16" s="134">
        <f>G16+L16</f>
        <v>42416.04</v>
      </c>
    </row>
    <row r="17" spans="1:19" s="76" customFormat="1" ht="11.25" x14ac:dyDescent="0.2">
      <c r="A17" s="109">
        <v>7</v>
      </c>
      <c r="B17" s="62" t="s">
        <v>79</v>
      </c>
      <c r="C17" s="67">
        <v>1.93</v>
      </c>
      <c r="D17" s="67">
        <v>1.93</v>
      </c>
      <c r="E17" s="87" t="s">
        <v>113</v>
      </c>
      <c r="F17" s="89">
        <v>3057.52</v>
      </c>
      <c r="G17" s="88">
        <f t="shared" si="0"/>
        <v>9172.56</v>
      </c>
      <c r="H17" s="89">
        <v>0</v>
      </c>
      <c r="I17" s="89">
        <f>2354.09+509.12+97.16+97.15</f>
        <v>3057.52</v>
      </c>
      <c r="J17" s="89">
        <f>509.12+2354.09+97.16+97.15</f>
        <v>3057.52</v>
      </c>
      <c r="K17" s="89">
        <f>97.16+509.12+2354.09+97.15</f>
        <v>3057.52</v>
      </c>
      <c r="L17" s="88">
        <f>SUM(M17:N17)</f>
        <v>4938.12</v>
      </c>
      <c r="M17" s="89">
        <f>2312.15+156.91</f>
        <v>2469.06</v>
      </c>
      <c r="N17" s="89">
        <v>2469.06</v>
      </c>
      <c r="O17" s="94" t="s">
        <v>101</v>
      </c>
      <c r="P17" s="87" t="s">
        <v>108</v>
      </c>
      <c r="Q17" s="89">
        <v>2267.2399999999998</v>
      </c>
      <c r="R17" s="111">
        <f>Q17*5</f>
        <v>11336.199999999999</v>
      </c>
      <c r="S17" s="134">
        <f>G17+L17-R17</f>
        <v>2774.4800000000014</v>
      </c>
    </row>
    <row r="18" spans="1:19" s="76" customFormat="1" ht="11.25" x14ac:dyDescent="0.2">
      <c r="A18" s="109">
        <v>8</v>
      </c>
      <c r="B18" s="62" t="s">
        <v>80</v>
      </c>
      <c r="C18" s="67">
        <v>0.46</v>
      </c>
      <c r="D18" s="67">
        <v>0.46</v>
      </c>
      <c r="E18" s="87" t="s">
        <v>92</v>
      </c>
      <c r="F18" s="89">
        <f>(C3-92)*C18</f>
        <v>1079.0219999999999</v>
      </c>
      <c r="G18" s="88">
        <f t="shared" si="0"/>
        <v>2885.12</v>
      </c>
      <c r="H18" s="89">
        <f>749.67+113.52+37.4</f>
        <v>900.58999999999992</v>
      </c>
      <c r="I18" s="89">
        <f>725.96+137.23+18.7+18.7</f>
        <v>900.59000000000015</v>
      </c>
      <c r="J18" s="89">
        <f>-37.4</f>
        <v>-37.4</v>
      </c>
      <c r="K18" s="89">
        <f>18.7+167.04+916.9+18.7</f>
        <v>1121.3399999999999</v>
      </c>
      <c r="L18" s="88">
        <f>M18+N18</f>
        <v>2242.6800000000003</v>
      </c>
      <c r="M18" s="89">
        <f>1083.94+37.4</f>
        <v>1121.3400000000001</v>
      </c>
      <c r="N18" s="89">
        <v>1121.3399999999999</v>
      </c>
      <c r="O18" s="94" t="s">
        <v>127</v>
      </c>
      <c r="P18" s="87" t="s">
        <v>99</v>
      </c>
      <c r="Q18" s="89"/>
      <c r="R18" s="111">
        <v>5127.8</v>
      </c>
      <c r="S18" s="134">
        <f>G18+L18-R18</f>
        <v>0</v>
      </c>
    </row>
    <row r="19" spans="1:19" s="76" customFormat="1" ht="11.25" x14ac:dyDescent="0.2">
      <c r="A19" s="109">
        <v>9</v>
      </c>
      <c r="B19" s="63" t="s">
        <v>81</v>
      </c>
      <c r="C19" s="70">
        <v>0.2</v>
      </c>
      <c r="D19" s="70">
        <v>0.2</v>
      </c>
      <c r="E19" s="113" t="s">
        <v>92</v>
      </c>
      <c r="F19" s="114">
        <f>C3*C19</f>
        <v>487.53999999999996</v>
      </c>
      <c r="G19" s="88">
        <f t="shared" si="0"/>
        <v>1950.16</v>
      </c>
      <c r="H19" s="114">
        <f>408.97+62.31+16.26</f>
        <v>487.54</v>
      </c>
      <c r="I19" s="114">
        <f>398.66+72.62+8.12+8.14</f>
        <v>487.54</v>
      </c>
      <c r="J19" s="114">
        <f>72.62+8.12+398.66+8.14</f>
        <v>487.54</v>
      </c>
      <c r="K19" s="114">
        <f>72.62+8.12+398.66+8.14</f>
        <v>487.54</v>
      </c>
      <c r="L19" s="115">
        <f>M19+N19</f>
        <v>975.07999999999993</v>
      </c>
      <c r="M19" s="114">
        <f>471.28+16.26</f>
        <v>487.53999999999996</v>
      </c>
      <c r="N19" s="114">
        <v>487.54</v>
      </c>
      <c r="O19" s="116" t="s">
        <v>76</v>
      </c>
      <c r="P19" s="113" t="s">
        <v>99</v>
      </c>
      <c r="Q19" s="114">
        <v>487.54</v>
      </c>
      <c r="R19" s="117">
        <v>2925.24</v>
      </c>
      <c r="S19" s="136">
        <f>G19+L19-R19</f>
        <v>0</v>
      </c>
    </row>
    <row r="20" spans="1:19" s="76" customFormat="1" ht="11.25" x14ac:dyDescent="0.2">
      <c r="A20" s="109"/>
      <c r="B20" s="64" t="s">
        <v>82</v>
      </c>
      <c r="C20" s="70"/>
      <c r="D20" s="70"/>
      <c r="E20" s="113"/>
      <c r="F20" s="119">
        <f>F10+F12+F13+F14+F15+F16+F17+F18+F19</f>
        <v>38025.616999999991</v>
      </c>
      <c r="G20" s="119">
        <f>SUM(H20:K20)</f>
        <v>147614.11000000002</v>
      </c>
      <c r="H20" s="119">
        <f>H9+H11+H13+H14+H15+H16+H17+H18+H19</f>
        <v>34789.700000000004</v>
      </c>
      <c r="I20" s="119">
        <f>I9+I11+I13+I14+I15+I16+I17+I18+I19</f>
        <v>37847.220000000008</v>
      </c>
      <c r="J20" s="119">
        <f>J9+J11+J13+J14+J15+J16+J17+J18+J19</f>
        <v>36909.22</v>
      </c>
      <c r="K20" s="119">
        <f>K9+K11+K13+K14+K15+K16+K17+K18+K19</f>
        <v>38067.969999999994</v>
      </c>
      <c r="L20" s="115">
        <f>M20+N20</f>
        <v>74959.01999999999</v>
      </c>
      <c r="M20" s="119">
        <f>M9+M11+M13+M14+M15+M16+M17+M18+M19</f>
        <v>37479.51</v>
      </c>
      <c r="N20" s="119">
        <f>N9+N11+N13+N14+N15+N16+N17+N18+N19</f>
        <v>37479.509999999995</v>
      </c>
      <c r="O20" s="116"/>
      <c r="P20" s="113"/>
      <c r="Q20" s="114"/>
      <c r="R20" s="117"/>
      <c r="S20" s="118"/>
    </row>
    <row r="21" spans="1:19" s="76" customFormat="1" ht="11.25" x14ac:dyDescent="0.2">
      <c r="A21" s="109">
        <v>10</v>
      </c>
      <c r="B21" s="62" t="s">
        <v>84</v>
      </c>
      <c r="C21" s="67" t="s">
        <v>118</v>
      </c>
      <c r="D21" s="67" t="s">
        <v>119</v>
      </c>
      <c r="E21" s="87" t="s">
        <v>122</v>
      </c>
      <c r="F21" s="89">
        <v>0</v>
      </c>
      <c r="G21" s="88">
        <f>SUM(H21:K21)</f>
        <v>57433.09</v>
      </c>
      <c r="H21" s="89">
        <f>11279.03+1834.58+1199.16</f>
        <v>14312.77</v>
      </c>
      <c r="I21" s="89">
        <f>12414.91+1133.04+372.64+372.64+254+74.54+74.54+50.8</f>
        <v>14747.11</v>
      </c>
      <c r="J21" s="89">
        <f>774.47+11169.56+372.64+372.64+254+74.54+74.54+50.8</f>
        <v>13143.189999999999</v>
      </c>
      <c r="K21" s="89">
        <f>2082.29+372.64+372.64+254+11948.57+74.54+74.54+50.8</f>
        <v>15230.02</v>
      </c>
      <c r="L21" s="88">
        <f>M21+N21</f>
        <v>32797.43</v>
      </c>
      <c r="M21" s="89">
        <f>14552.53+527.82+527.82+359.76</f>
        <v>15967.93</v>
      </c>
      <c r="N21" s="89">
        <f>15414.1+527.82+527.82+359.76</f>
        <v>16829.5</v>
      </c>
      <c r="O21" s="94" t="s">
        <v>102</v>
      </c>
      <c r="P21" s="87" t="s">
        <v>103</v>
      </c>
      <c r="Q21" s="89"/>
      <c r="R21" s="111">
        <f>37804.06+7330.83+10841.68+30444.86</f>
        <v>86421.43</v>
      </c>
      <c r="S21" s="134">
        <f>G21+L21-R21</f>
        <v>3809.0899999999965</v>
      </c>
    </row>
    <row r="22" spans="1:19" s="76" customFormat="1" ht="11.25" x14ac:dyDescent="0.2">
      <c r="A22" s="109"/>
      <c r="B22" s="62" t="s">
        <v>85</v>
      </c>
      <c r="C22" s="67">
        <v>11.14</v>
      </c>
      <c r="D22" s="67">
        <v>13.15</v>
      </c>
      <c r="E22" s="87" t="s">
        <v>88</v>
      </c>
      <c r="F22" s="110">
        <v>0</v>
      </c>
      <c r="G22" s="88"/>
      <c r="H22" s="89"/>
      <c r="I22" s="89">
        <v>0</v>
      </c>
      <c r="J22" s="89">
        <v>0</v>
      </c>
      <c r="K22" s="89">
        <v>0</v>
      </c>
      <c r="L22" s="88"/>
      <c r="M22" s="89">
        <v>0</v>
      </c>
      <c r="N22" s="89">
        <v>0</v>
      </c>
      <c r="O22" s="94" t="s">
        <v>102</v>
      </c>
      <c r="P22" s="87"/>
      <c r="Q22" s="89"/>
      <c r="R22" s="111"/>
      <c r="S22" s="112"/>
    </row>
    <row r="23" spans="1:19" s="76" customFormat="1" ht="11.25" x14ac:dyDescent="0.2">
      <c r="A23" s="109"/>
      <c r="B23" s="62" t="s">
        <v>86</v>
      </c>
      <c r="C23" s="67">
        <v>11.14</v>
      </c>
      <c r="D23" s="67">
        <v>13.15</v>
      </c>
      <c r="E23" s="87" t="s">
        <v>88</v>
      </c>
      <c r="F23" s="110">
        <v>0</v>
      </c>
      <c r="G23" s="88"/>
      <c r="H23" s="89"/>
      <c r="I23" s="89">
        <v>0</v>
      </c>
      <c r="J23" s="89">
        <v>0</v>
      </c>
      <c r="K23" s="89">
        <v>0</v>
      </c>
      <c r="L23" s="88"/>
      <c r="M23" s="89">
        <v>0</v>
      </c>
      <c r="N23" s="89">
        <v>0</v>
      </c>
      <c r="O23" s="94" t="s">
        <v>102</v>
      </c>
      <c r="P23" s="87"/>
      <c r="Q23" s="89"/>
      <c r="R23" s="111"/>
      <c r="S23" s="112"/>
    </row>
    <row r="24" spans="1:19" s="76" customFormat="1" ht="11.25" x14ac:dyDescent="0.2">
      <c r="A24" s="109">
        <v>11</v>
      </c>
      <c r="B24" s="62" t="s">
        <v>87</v>
      </c>
      <c r="C24" s="67" t="s">
        <v>120</v>
      </c>
      <c r="D24" s="67" t="s">
        <v>121</v>
      </c>
      <c r="E24" s="87" t="s">
        <v>122</v>
      </c>
      <c r="F24" s="110">
        <v>0</v>
      </c>
      <c r="G24" s="88">
        <f>SUM(H24:K24)</f>
        <v>57673.83</v>
      </c>
      <c r="H24" s="89">
        <f>11946.17+2007.02+1306.14</f>
        <v>15259.33</v>
      </c>
      <c r="I24" s="89">
        <f>10953.49+1136.22+1044.6+217.7</f>
        <v>13352.01</v>
      </c>
      <c r="J24" s="89">
        <f>730.32+11850.45+1010.9+222.94</f>
        <v>13814.61</v>
      </c>
      <c r="K24" s="89">
        <f>2248.58+1088.44+11693.16+217.7</f>
        <v>15247.880000000001</v>
      </c>
      <c r="L24" s="88">
        <f>M24+N24</f>
        <v>35266</v>
      </c>
      <c r="M24" s="89">
        <f>15715.11+1528.32</f>
        <v>17243.43</v>
      </c>
      <c r="N24" s="89">
        <f>16494.25+1528.32</f>
        <v>18022.57</v>
      </c>
      <c r="O24" s="94" t="s">
        <v>104</v>
      </c>
      <c r="P24" s="87" t="s">
        <v>105</v>
      </c>
      <c r="Q24" s="89" t="s">
        <v>126</v>
      </c>
      <c r="R24" s="111">
        <v>240950.71</v>
      </c>
      <c r="S24" s="134">
        <f>G24+G25+L24+L25-R24</f>
        <v>59450.840000000055</v>
      </c>
    </row>
    <row r="25" spans="1:19" s="76" customFormat="1" ht="11.25" x14ac:dyDescent="0.2">
      <c r="A25" s="109">
        <v>12</v>
      </c>
      <c r="B25" s="62" t="s">
        <v>13</v>
      </c>
      <c r="C25" s="67">
        <v>13.29</v>
      </c>
      <c r="D25" s="67">
        <v>16.850000000000001</v>
      </c>
      <c r="E25" s="87" t="s">
        <v>92</v>
      </c>
      <c r="F25" s="110">
        <f>D25*C3</f>
        <v>41075.245000000003</v>
      </c>
      <c r="G25" s="88">
        <f>SUM(H25:K25)</f>
        <v>125311.08</v>
      </c>
      <c r="H25" s="89">
        <f>27519.24+3671.01+1080.48</f>
        <v>32270.73</v>
      </c>
      <c r="I25" s="89">
        <f>24907.26+4356.11+795.96+222.94</f>
        <v>30282.269999999997</v>
      </c>
      <c r="J25" s="89">
        <f>4356.11+25157.89+750.41+222.94</f>
        <v>30487.35</v>
      </c>
      <c r="K25" s="89">
        <f>4356.11+857.54+26834.14+222.94</f>
        <v>32270.73</v>
      </c>
      <c r="L25" s="88">
        <f>M25+N25</f>
        <v>82150.640000000014</v>
      </c>
      <c r="M25" s="89">
        <f>39705.41+1369.91</f>
        <v>41075.320000000007</v>
      </c>
      <c r="N25" s="89">
        <f>39705.41+1369.91</f>
        <v>41075.320000000007</v>
      </c>
      <c r="O25" s="94" t="s">
        <v>104</v>
      </c>
      <c r="P25" s="87" t="s">
        <v>105</v>
      </c>
      <c r="Q25" s="89"/>
      <c r="R25" s="111"/>
      <c r="S25" s="112"/>
    </row>
    <row r="26" spans="1:19" s="76" customFormat="1" ht="11.25" x14ac:dyDescent="0.2">
      <c r="A26" s="109">
        <v>13</v>
      </c>
      <c r="B26" s="62" t="s">
        <v>14</v>
      </c>
      <c r="C26" s="67">
        <v>28.08</v>
      </c>
      <c r="D26" s="67">
        <v>31.14</v>
      </c>
      <c r="E26" s="87" t="s">
        <v>116</v>
      </c>
      <c r="F26" s="89">
        <v>2416.06</v>
      </c>
      <c r="G26" s="88">
        <f>SUM(H26:K26)</f>
        <v>8357.23</v>
      </c>
      <c r="H26" s="89">
        <f>1668.34+269.18+28.08</f>
        <v>1965.6</v>
      </c>
      <c r="I26" s="89">
        <f>1755+189.64+140.4+28.08</f>
        <v>2113.12</v>
      </c>
      <c r="J26" s="89">
        <f>136.71+1755+140.4+28.08</f>
        <v>2060.19</v>
      </c>
      <c r="K26" s="89">
        <f>294.84+140.4+1755+28.08</f>
        <v>2218.3199999999997</v>
      </c>
      <c r="L26" s="88">
        <f>M26+N26</f>
        <v>4920.12</v>
      </c>
      <c r="M26" s="89">
        <f>2273.22+186.84</f>
        <v>2460.06</v>
      </c>
      <c r="N26" s="89">
        <f>2273.22+186.84</f>
        <v>2460.06</v>
      </c>
      <c r="O26" s="94" t="s">
        <v>106</v>
      </c>
      <c r="P26" s="87"/>
      <c r="Q26" s="89"/>
      <c r="R26" s="111">
        <v>6344.59</v>
      </c>
      <c r="S26" s="134">
        <f>G26+L26-R26</f>
        <v>6932.7599999999984</v>
      </c>
    </row>
    <row r="27" spans="1:19" s="76" customFormat="1" ht="12" thickBot="1" x14ac:dyDescent="0.25">
      <c r="A27" s="109">
        <v>14</v>
      </c>
      <c r="B27" s="62" t="s">
        <v>83</v>
      </c>
      <c r="C27" s="67">
        <v>0</v>
      </c>
      <c r="D27" s="67">
        <v>0</v>
      </c>
      <c r="E27" s="87" t="s">
        <v>92</v>
      </c>
      <c r="F27" s="89">
        <v>0</v>
      </c>
      <c r="G27" s="88"/>
      <c r="H27" s="89">
        <v>0</v>
      </c>
      <c r="I27" s="89">
        <v>0</v>
      </c>
      <c r="J27" s="89">
        <v>0</v>
      </c>
      <c r="K27" s="89">
        <v>0</v>
      </c>
      <c r="L27" s="88"/>
      <c r="M27" s="89">
        <v>0</v>
      </c>
      <c r="N27" s="89">
        <v>0</v>
      </c>
      <c r="O27" s="94"/>
      <c r="P27" s="87"/>
      <c r="Q27" s="89"/>
      <c r="R27" s="111"/>
      <c r="S27" s="134">
        <f>G27+L27-R27</f>
        <v>0</v>
      </c>
    </row>
    <row r="28" spans="1:19" s="76" customFormat="1" ht="12" thickBot="1" x14ac:dyDescent="0.25">
      <c r="A28" s="109"/>
      <c r="B28" s="120" t="s">
        <v>77</v>
      </c>
      <c r="C28" s="121"/>
      <c r="D28" s="121" t="s">
        <v>93</v>
      </c>
      <c r="E28" s="122"/>
      <c r="F28" s="123"/>
      <c r="G28" s="123">
        <f>G20+G21+G24+G25+G26+G27</f>
        <v>396389.34</v>
      </c>
      <c r="H28" s="124">
        <f>H20+H21+H24+H25+H26</f>
        <v>98598.13</v>
      </c>
      <c r="I28" s="124">
        <f>I20+I21+I24+I25+I26</f>
        <v>98341.73000000001</v>
      </c>
      <c r="J28" s="124">
        <f>J20+J21+J24+J25+J26</f>
        <v>96414.56</v>
      </c>
      <c r="K28" s="124">
        <f>K20+K21+K24+K25+K26</f>
        <v>103034.91999999998</v>
      </c>
      <c r="L28" s="123">
        <f>L20+L21+L24+L25+L26</f>
        <v>230093.21</v>
      </c>
      <c r="M28" s="124">
        <f>SUM(M21:M27)+M20</f>
        <v>114226.25</v>
      </c>
      <c r="N28" s="124">
        <f>SUM(N21:N27)+N20</f>
        <v>115866.96</v>
      </c>
      <c r="O28" s="125"/>
      <c r="P28" s="122"/>
      <c r="Q28" s="124"/>
      <c r="R28" s="126">
        <f>SUM(R9:R27)</f>
        <v>488930.89999999997</v>
      </c>
      <c r="S28" s="137">
        <f>S9+S11+S13+S14+S15+S16+S17+S18+S19+S21+S24+S26+S27</f>
        <v>137551.65000000005</v>
      </c>
    </row>
    <row r="29" spans="1:19" s="76" customFormat="1" ht="12" thickBot="1" x14ac:dyDescent="0.25">
      <c r="A29" s="128"/>
      <c r="B29" s="129"/>
      <c r="C29" s="121"/>
      <c r="D29" s="121"/>
      <c r="E29" s="130"/>
      <c r="F29" s="124"/>
      <c r="G29" s="123"/>
      <c r="H29" s="124"/>
      <c r="I29" s="124"/>
      <c r="J29" s="124"/>
      <c r="K29" s="124"/>
      <c r="L29" s="122"/>
      <c r="M29" s="124"/>
      <c r="N29" s="124"/>
      <c r="O29" s="131"/>
      <c r="P29" s="122"/>
      <c r="Q29" s="124"/>
      <c r="R29" s="132"/>
      <c r="S29" s="127"/>
    </row>
    <row r="30" spans="1:19" s="76" customFormat="1" ht="11.25" x14ac:dyDescent="0.2">
      <c r="A30" s="91" t="s">
        <v>94</v>
      </c>
      <c r="B30" s="104"/>
      <c r="C30" s="105"/>
      <c r="D30" s="105"/>
      <c r="E30" s="104"/>
      <c r="F30" s="106" t="s">
        <v>96</v>
      </c>
      <c r="G30" s="106"/>
      <c r="H30" s="105"/>
      <c r="I30" s="105"/>
      <c r="J30" s="105"/>
      <c r="K30" s="105"/>
      <c r="L30" s="104"/>
      <c r="M30" s="105"/>
      <c r="N30" s="105"/>
      <c r="O30" s="104"/>
      <c r="P30" s="104"/>
      <c r="Q30" s="105"/>
      <c r="R30" s="106" t="s">
        <v>78</v>
      </c>
      <c r="S30" s="104"/>
    </row>
    <row r="31" spans="1:19" x14ac:dyDescent="0.2">
      <c r="B31" s="148" t="s">
        <v>128</v>
      </c>
    </row>
    <row r="32" spans="1:19" x14ac:dyDescent="0.2">
      <c r="B32" s="151" t="s">
        <v>129</v>
      </c>
      <c r="C32" s="149">
        <v>28500</v>
      </c>
    </row>
    <row r="33" spans="2:6" x14ac:dyDescent="0.2">
      <c r="B33" s="151" t="s">
        <v>130</v>
      </c>
      <c r="C33" s="150">
        <v>19400</v>
      </c>
    </row>
    <row r="34" spans="2:6" x14ac:dyDescent="0.2">
      <c r="B34" s="152" t="s">
        <v>131</v>
      </c>
    </row>
    <row r="35" spans="2:6" x14ac:dyDescent="0.2">
      <c r="B35" s="148" t="s">
        <v>132</v>
      </c>
    </row>
    <row r="36" spans="2:6" x14ac:dyDescent="0.2">
      <c r="B36" s="153" t="s">
        <v>133</v>
      </c>
      <c r="C36" s="154" t="s">
        <v>134</v>
      </c>
      <c r="D36" s="155"/>
      <c r="E36" s="156"/>
    </row>
    <row r="37" spans="2:6" x14ac:dyDescent="0.2">
      <c r="C37" s="157" t="s">
        <v>135</v>
      </c>
      <c r="D37" s="158"/>
      <c r="E37" s="159"/>
    </row>
    <row r="38" spans="2:6" x14ac:dyDescent="0.2">
      <c r="C38" s="157" t="s">
        <v>136</v>
      </c>
      <c r="D38" s="158"/>
      <c r="E38" s="159"/>
    </row>
    <row r="39" spans="2:6" x14ac:dyDescent="0.2">
      <c r="C39" s="157" t="s">
        <v>137</v>
      </c>
      <c r="D39" s="158"/>
      <c r="E39" s="159"/>
    </row>
    <row r="40" spans="2:6" x14ac:dyDescent="0.2">
      <c r="C40" s="157" t="s">
        <v>138</v>
      </c>
      <c r="D40" s="158"/>
      <c r="E40" s="159"/>
    </row>
    <row r="41" spans="2:6" x14ac:dyDescent="0.2">
      <c r="C41" s="160" t="s">
        <v>139</v>
      </c>
      <c r="D41" s="161"/>
      <c r="E41" s="162"/>
    </row>
    <row r="42" spans="2:6" x14ac:dyDescent="0.2">
      <c r="B42" s="165" t="s">
        <v>140</v>
      </c>
      <c r="C42" s="168" t="s">
        <v>143</v>
      </c>
      <c r="D42" s="168"/>
      <c r="E42" s="165">
        <v>450.4</v>
      </c>
    </row>
    <row r="43" spans="2:6" ht="13.5" thickBot="1" x14ac:dyDescent="0.25">
      <c r="C43" s="53" t="s">
        <v>2</v>
      </c>
      <c r="D43" s="53" t="s">
        <v>34</v>
      </c>
      <c r="F43" s="53" t="s">
        <v>144</v>
      </c>
    </row>
    <row r="44" spans="2:6" x14ac:dyDescent="0.2">
      <c r="B44" s="163" t="s">
        <v>22</v>
      </c>
      <c r="C44" s="170">
        <v>3.39</v>
      </c>
      <c r="D44" s="171">
        <f>C44*E42</f>
        <v>1526.856</v>
      </c>
      <c r="E44" s="172"/>
      <c r="F44" s="173">
        <f>D44*6</f>
        <v>9161.1360000000004</v>
      </c>
    </row>
    <row r="45" spans="2:6" ht="13.5" thickBot="1" x14ac:dyDescent="0.25">
      <c r="B45" s="164" t="s">
        <v>23</v>
      </c>
      <c r="C45" s="174"/>
      <c r="D45" s="175"/>
      <c r="E45" s="176"/>
      <c r="F45" s="177"/>
    </row>
    <row r="46" spans="2:6" x14ac:dyDescent="0.2">
      <c r="B46" s="163" t="s">
        <v>24</v>
      </c>
      <c r="C46" s="170">
        <v>4.57</v>
      </c>
      <c r="D46" s="171">
        <f>C46*E42</f>
        <v>2058.328</v>
      </c>
      <c r="E46" s="172"/>
      <c r="F46" s="173">
        <f>D46*6</f>
        <v>12349.968000000001</v>
      </c>
    </row>
    <row r="47" spans="2:6" ht="13.5" thickBot="1" x14ac:dyDescent="0.25">
      <c r="B47" s="164" t="s">
        <v>25</v>
      </c>
      <c r="C47" s="174"/>
      <c r="D47" s="175"/>
      <c r="E47" s="176"/>
      <c r="F47" s="177"/>
    </row>
    <row r="48" spans="2:6" ht="13.5" thickBot="1" x14ac:dyDescent="0.25">
      <c r="B48" s="178" t="s">
        <v>7</v>
      </c>
      <c r="C48" s="179">
        <v>1.29</v>
      </c>
      <c r="D48" s="180">
        <f>C48*E42</f>
        <v>581.01599999999996</v>
      </c>
      <c r="E48" s="181"/>
      <c r="F48" s="182">
        <f>D48*6</f>
        <v>3486.0959999999995</v>
      </c>
    </row>
    <row r="49" spans="2:18" ht="13.5" thickBot="1" x14ac:dyDescent="0.25">
      <c r="B49" s="178" t="s">
        <v>81</v>
      </c>
      <c r="C49" s="179">
        <v>0.2</v>
      </c>
      <c r="D49" s="180">
        <f>C49*E42</f>
        <v>90.08</v>
      </c>
      <c r="E49" s="181"/>
      <c r="F49" s="182">
        <f>D49*6</f>
        <v>540.48</v>
      </c>
    </row>
    <row r="50" spans="2:18" s="167" customFormat="1" ht="13.5" thickBot="1" x14ac:dyDescent="0.25">
      <c r="B50" s="183" t="s">
        <v>82</v>
      </c>
      <c r="C50" s="166"/>
      <c r="D50" s="184">
        <f>D44+D46+D48+D49</f>
        <v>4256.28</v>
      </c>
      <c r="E50" s="185"/>
      <c r="F50" s="186">
        <f>F44+F46+F48+F49</f>
        <v>25537.679999999997</v>
      </c>
      <c r="G50" s="166"/>
      <c r="H50" s="169"/>
      <c r="I50" s="169"/>
      <c r="J50" s="169"/>
      <c r="K50" s="169"/>
      <c r="M50" s="166"/>
      <c r="N50" s="166"/>
      <c r="Q50" s="166"/>
      <c r="R50" s="166"/>
    </row>
    <row r="51" spans="2:18" ht="13.5" thickBot="1" x14ac:dyDescent="0.25">
      <c r="B51" s="178" t="s">
        <v>13</v>
      </c>
      <c r="C51" s="187" t="s">
        <v>141</v>
      </c>
      <c r="D51" s="188" t="s">
        <v>142</v>
      </c>
      <c r="E51" s="189"/>
      <c r="F51" s="190">
        <f>9746.66*4+10719.52*2</f>
        <v>60425.68</v>
      </c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="90" zoomScaleNormal="90" zoomScaleSheetLayoutView="90" workbookViewId="0">
      <selection activeCell="B19" sqref="B19"/>
    </sheetView>
  </sheetViews>
  <sheetFormatPr defaultRowHeight="14.25" x14ac:dyDescent="0.2"/>
  <cols>
    <col min="1" max="1" width="3.7109375" style="255" customWidth="1"/>
    <col min="2" max="2" width="36.85546875" style="255" customWidth="1"/>
    <col min="3" max="3" width="14.28515625" style="268" customWidth="1"/>
    <col min="4" max="4" width="14.28515625" style="266" customWidth="1"/>
    <col min="5" max="6" width="19.42578125" style="266" customWidth="1"/>
    <col min="7" max="7" width="19.42578125" style="267" customWidth="1"/>
    <col min="8" max="8" width="30.5703125" style="255" customWidth="1"/>
    <col min="9" max="9" width="16.85546875" style="265" customWidth="1"/>
    <col min="10" max="16384" width="9.140625" style="255"/>
  </cols>
  <sheetData>
    <row r="1" spans="1:9" s="385" customFormat="1" ht="10.5" customHeight="1" x14ac:dyDescent="0.2">
      <c r="A1" s="381"/>
      <c r="B1" s="382"/>
      <c r="C1" s="382"/>
      <c r="D1" s="383"/>
      <c r="E1" s="383"/>
      <c r="F1" s="384" t="s">
        <v>213</v>
      </c>
      <c r="G1" s="382"/>
      <c r="H1" s="382"/>
      <c r="I1" s="382"/>
    </row>
    <row r="2" spans="1:9" s="366" customFormat="1" ht="17.25" customHeight="1" thickBot="1" x14ac:dyDescent="0.3">
      <c r="A2" s="376"/>
      <c r="B2" s="377"/>
      <c r="C2" s="377"/>
      <c r="D2" s="377"/>
      <c r="E2" s="378"/>
      <c r="F2" s="379" t="s">
        <v>214</v>
      </c>
      <c r="G2" s="380"/>
      <c r="H2" s="377"/>
      <c r="I2" s="377"/>
    </row>
    <row r="3" spans="1:9" x14ac:dyDescent="0.2">
      <c r="A3" s="297" t="s">
        <v>30</v>
      </c>
      <c r="B3" s="297" t="s">
        <v>1</v>
      </c>
      <c r="C3" s="294" t="s">
        <v>160</v>
      </c>
      <c r="D3" s="304" t="s">
        <v>160</v>
      </c>
      <c r="E3" s="330" t="s">
        <v>150</v>
      </c>
      <c r="F3" s="331" t="s">
        <v>149</v>
      </c>
      <c r="G3" s="332" t="s">
        <v>151</v>
      </c>
      <c r="H3" s="313" t="s">
        <v>60</v>
      </c>
      <c r="I3" s="298" t="s">
        <v>109</v>
      </c>
    </row>
    <row r="4" spans="1:9" ht="15" x14ac:dyDescent="0.2">
      <c r="A4" s="299" t="s">
        <v>31</v>
      </c>
      <c r="B4" s="300"/>
      <c r="C4" s="295" t="s">
        <v>161</v>
      </c>
      <c r="D4" s="305" t="s">
        <v>161</v>
      </c>
      <c r="E4" s="333" t="s">
        <v>148</v>
      </c>
      <c r="F4" s="334" t="s">
        <v>148</v>
      </c>
      <c r="G4" s="335" t="s">
        <v>148</v>
      </c>
      <c r="H4" s="314" t="s">
        <v>64</v>
      </c>
      <c r="I4" s="301" t="s">
        <v>110</v>
      </c>
    </row>
    <row r="5" spans="1:9" ht="15" x14ac:dyDescent="0.2">
      <c r="A5" s="300"/>
      <c r="B5" s="300"/>
      <c r="C5" s="295" t="s">
        <v>156</v>
      </c>
      <c r="D5" s="305" t="s">
        <v>157</v>
      </c>
      <c r="E5" s="333" t="s">
        <v>152</v>
      </c>
      <c r="F5" s="334" t="s">
        <v>152</v>
      </c>
      <c r="G5" s="335" t="s">
        <v>152</v>
      </c>
      <c r="H5" s="315" t="s">
        <v>125</v>
      </c>
      <c r="I5" s="301" t="s">
        <v>111</v>
      </c>
    </row>
    <row r="6" spans="1:9" ht="15.75" thickBot="1" x14ac:dyDescent="0.25">
      <c r="A6" s="302"/>
      <c r="B6" s="302"/>
      <c r="C6" s="296" t="s">
        <v>163</v>
      </c>
      <c r="D6" s="306" t="s">
        <v>162</v>
      </c>
      <c r="E6" s="336"/>
      <c r="F6" s="337"/>
      <c r="G6" s="338"/>
      <c r="H6" s="316"/>
      <c r="I6" s="303" t="s">
        <v>153</v>
      </c>
    </row>
    <row r="7" spans="1:9" ht="30" x14ac:dyDescent="0.2">
      <c r="A7" s="289">
        <v>1</v>
      </c>
      <c r="B7" s="290" t="s">
        <v>174</v>
      </c>
      <c r="C7" s="291">
        <v>9.59</v>
      </c>
      <c r="D7" s="307">
        <v>10.39</v>
      </c>
      <c r="E7" s="320">
        <v>892206.84</v>
      </c>
      <c r="F7" s="292">
        <v>888741.09</v>
      </c>
      <c r="G7" s="321">
        <f t="shared" ref="G7:G12" si="0">E7-F7</f>
        <v>3465.75</v>
      </c>
      <c r="H7" s="317" t="s">
        <v>154</v>
      </c>
      <c r="I7" s="291">
        <v>892206.84</v>
      </c>
    </row>
    <row r="8" spans="1:9" ht="15" x14ac:dyDescent="0.2">
      <c r="A8" s="270">
        <v>2</v>
      </c>
      <c r="B8" s="264" t="s">
        <v>186</v>
      </c>
      <c r="C8" s="257">
        <v>1.18</v>
      </c>
      <c r="D8" s="308">
        <v>2.29</v>
      </c>
      <c r="E8" s="322">
        <v>154953</v>
      </c>
      <c r="F8" s="279">
        <v>150055.03</v>
      </c>
      <c r="G8" s="323">
        <f t="shared" si="0"/>
        <v>4897.9700000000012</v>
      </c>
      <c r="H8" s="318" t="s">
        <v>154</v>
      </c>
      <c r="I8" s="256">
        <v>154953</v>
      </c>
    </row>
    <row r="9" spans="1:9" ht="30" x14ac:dyDescent="0.2">
      <c r="A9" s="270">
        <v>3</v>
      </c>
      <c r="B9" s="258" t="s">
        <v>168</v>
      </c>
      <c r="C9" s="226">
        <v>5.08</v>
      </c>
      <c r="D9" s="309">
        <v>5.84</v>
      </c>
      <c r="E9" s="322">
        <v>487632.6</v>
      </c>
      <c r="F9" s="279">
        <v>484544.01</v>
      </c>
      <c r="G9" s="323">
        <f t="shared" si="0"/>
        <v>3088.5899999999674</v>
      </c>
      <c r="H9" s="318" t="s">
        <v>154</v>
      </c>
      <c r="I9" s="256">
        <v>487632.6</v>
      </c>
    </row>
    <row r="10" spans="1:9" ht="30" x14ac:dyDescent="0.2">
      <c r="A10" s="270">
        <v>4</v>
      </c>
      <c r="B10" s="285" t="s">
        <v>169</v>
      </c>
      <c r="C10" s="259">
        <v>1.41</v>
      </c>
      <c r="D10" s="309">
        <v>1.52</v>
      </c>
      <c r="E10" s="322">
        <v>130839.6</v>
      </c>
      <c r="F10" s="279">
        <v>130128.51</v>
      </c>
      <c r="G10" s="323">
        <f t="shared" si="0"/>
        <v>711.09000000001106</v>
      </c>
      <c r="H10" s="318" t="s">
        <v>154</v>
      </c>
      <c r="I10" s="256">
        <v>130839.6</v>
      </c>
    </row>
    <row r="11" spans="1:9" ht="15" x14ac:dyDescent="0.2">
      <c r="A11" s="270">
        <v>5</v>
      </c>
      <c r="B11" s="264" t="s">
        <v>189</v>
      </c>
      <c r="C11" s="260">
        <v>0.34</v>
      </c>
      <c r="D11" s="310">
        <v>0.34</v>
      </c>
      <c r="E11" s="324">
        <v>30365.16</v>
      </c>
      <c r="F11" s="280">
        <v>30818.44</v>
      </c>
      <c r="G11" s="323">
        <v>0</v>
      </c>
      <c r="H11" s="318" t="s">
        <v>190</v>
      </c>
      <c r="I11" s="260">
        <v>30365.16</v>
      </c>
    </row>
    <row r="12" spans="1:9" ht="15" x14ac:dyDescent="0.2">
      <c r="A12" s="270">
        <v>6</v>
      </c>
      <c r="B12" s="264" t="s">
        <v>79</v>
      </c>
      <c r="C12" s="260">
        <v>2.84</v>
      </c>
      <c r="D12" s="310">
        <v>2.84</v>
      </c>
      <c r="E12" s="324">
        <v>146352.6</v>
      </c>
      <c r="F12" s="280">
        <v>144935.39000000001</v>
      </c>
      <c r="G12" s="323">
        <f t="shared" si="0"/>
        <v>1417.2099999999919</v>
      </c>
      <c r="H12" s="319" t="s">
        <v>184</v>
      </c>
      <c r="I12" s="261">
        <v>146352.6</v>
      </c>
    </row>
    <row r="13" spans="1:9" ht="15" x14ac:dyDescent="0.2">
      <c r="A13" s="270">
        <v>7</v>
      </c>
      <c r="B13" s="285" t="s">
        <v>199</v>
      </c>
      <c r="C13" s="262">
        <v>1.26</v>
      </c>
      <c r="D13" s="312">
        <v>1.36</v>
      </c>
      <c r="E13" s="326">
        <v>116996.28</v>
      </c>
      <c r="F13" s="281">
        <v>116174.1</v>
      </c>
      <c r="G13" s="321">
        <f>E13-F13</f>
        <v>822.17999999999302</v>
      </c>
      <c r="H13" s="386" t="s">
        <v>154</v>
      </c>
      <c r="I13" s="269">
        <v>116996.28</v>
      </c>
    </row>
    <row r="14" spans="1:9" ht="15" x14ac:dyDescent="0.2">
      <c r="A14" s="270">
        <v>8</v>
      </c>
      <c r="B14" s="264" t="s">
        <v>191</v>
      </c>
      <c r="C14" s="262">
        <v>0.59</v>
      </c>
      <c r="D14" s="312">
        <v>0.62</v>
      </c>
      <c r="E14" s="326">
        <v>49567.26</v>
      </c>
      <c r="F14" s="281">
        <v>49853.81</v>
      </c>
      <c r="G14" s="327">
        <v>0</v>
      </c>
      <c r="H14" s="317" t="s">
        <v>154</v>
      </c>
      <c r="I14" s="262">
        <v>49567.26</v>
      </c>
    </row>
    <row r="15" spans="1:9" ht="15" x14ac:dyDescent="0.2">
      <c r="A15" s="270">
        <v>9</v>
      </c>
      <c r="B15" s="264" t="s">
        <v>206</v>
      </c>
      <c r="C15" s="262">
        <v>3.24</v>
      </c>
      <c r="D15" s="312">
        <v>3.24</v>
      </c>
      <c r="E15" s="326">
        <v>289364.15999999997</v>
      </c>
      <c r="F15" s="282">
        <v>283953.14</v>
      </c>
      <c r="G15" s="323">
        <f>E15-F15</f>
        <v>5411.0199999999604</v>
      </c>
      <c r="H15" s="318" t="s">
        <v>203</v>
      </c>
      <c r="I15" s="262">
        <v>289364.15999999997</v>
      </c>
    </row>
    <row r="16" spans="1:9" ht="15.75" thickBot="1" x14ac:dyDescent="0.3">
      <c r="A16" s="289">
        <v>10</v>
      </c>
      <c r="B16" s="293" t="s">
        <v>204</v>
      </c>
      <c r="C16" s="261"/>
      <c r="D16" s="311"/>
      <c r="E16" s="325"/>
      <c r="F16" s="283"/>
      <c r="G16" s="328"/>
      <c r="H16" s="387"/>
      <c r="I16" s="365"/>
    </row>
    <row r="17" spans="1:9" s="278" customFormat="1" ht="21" customHeight="1" thickBot="1" x14ac:dyDescent="0.25">
      <c r="A17" s="288"/>
      <c r="B17" s="359" t="s">
        <v>147</v>
      </c>
      <c r="C17" s="273" t="s">
        <v>164</v>
      </c>
      <c r="D17" s="274" t="s">
        <v>164</v>
      </c>
      <c r="E17" s="286">
        <f>SUM(E7:E14)</f>
        <v>2008913.34</v>
      </c>
      <c r="F17" s="286">
        <f>SUM(F7:F14)</f>
        <v>1995250.38</v>
      </c>
      <c r="G17" s="286">
        <f>SUM(G7:G14)</f>
        <v>14402.789999999964</v>
      </c>
      <c r="H17" s="362"/>
      <c r="I17" s="275">
        <f>SUM(I7:I14)</f>
        <v>2008913.34</v>
      </c>
    </row>
    <row r="18" spans="1:9" ht="15" x14ac:dyDescent="0.25">
      <c r="A18" s="287">
        <v>11</v>
      </c>
      <c r="B18" s="272" t="s">
        <v>175</v>
      </c>
      <c r="C18" s="262" t="s">
        <v>176</v>
      </c>
      <c r="D18" s="312">
        <v>1621.95</v>
      </c>
      <c r="E18" s="329">
        <v>1904845.62</v>
      </c>
      <c r="F18" s="284">
        <v>1656501.75</v>
      </c>
      <c r="G18" s="321">
        <f>E18-F18</f>
        <v>248343.87000000011</v>
      </c>
      <c r="H18" s="339" t="s">
        <v>181</v>
      </c>
      <c r="I18" s="271">
        <v>1904845.62</v>
      </c>
    </row>
    <row r="19" spans="1:9" ht="30" x14ac:dyDescent="0.25">
      <c r="A19" s="287">
        <v>12</v>
      </c>
      <c r="B19" s="263" t="s">
        <v>165</v>
      </c>
      <c r="C19" s="341">
        <v>23.13</v>
      </c>
      <c r="D19" s="342">
        <v>32.33</v>
      </c>
      <c r="E19" s="324">
        <v>139974.76</v>
      </c>
      <c r="F19" s="280">
        <v>137450.6</v>
      </c>
      <c r="G19" s="323">
        <f>E19-F19</f>
        <v>2524.1600000000035</v>
      </c>
      <c r="H19" s="340" t="s">
        <v>182</v>
      </c>
      <c r="I19" s="341">
        <v>137974.76</v>
      </c>
    </row>
    <row r="20" spans="1:9" s="351" customFormat="1" ht="15" customHeight="1" x14ac:dyDescent="0.2">
      <c r="A20" s="287">
        <v>13</v>
      </c>
      <c r="B20" s="343" t="s">
        <v>211</v>
      </c>
      <c r="C20" s="344"/>
      <c r="D20" s="345"/>
      <c r="E20" s="346"/>
      <c r="F20" s="347"/>
      <c r="G20" s="348"/>
      <c r="H20" s="349"/>
      <c r="I20" s="350">
        <v>11254</v>
      </c>
    </row>
    <row r="21" spans="1:9" ht="30" x14ac:dyDescent="0.25">
      <c r="A21" s="287">
        <v>14</v>
      </c>
      <c r="B21" s="263" t="s">
        <v>166</v>
      </c>
      <c r="C21" s="260">
        <v>23.13</v>
      </c>
      <c r="D21" s="310">
        <v>23.13</v>
      </c>
      <c r="E21" s="324">
        <v>307617.82</v>
      </c>
      <c r="F21" s="280">
        <v>300173.38</v>
      </c>
      <c r="G21" s="323">
        <f>E21-F21</f>
        <v>7444.4400000000023</v>
      </c>
      <c r="H21" s="340" t="s">
        <v>182</v>
      </c>
      <c r="I21" s="260">
        <v>307617.82</v>
      </c>
    </row>
    <row r="22" spans="1:9" ht="15" x14ac:dyDescent="0.2">
      <c r="A22" s="287">
        <v>15</v>
      </c>
      <c r="B22" s="264" t="s">
        <v>167</v>
      </c>
      <c r="C22" s="260">
        <v>21.03</v>
      </c>
      <c r="D22" s="310">
        <v>4.29</v>
      </c>
      <c r="E22" s="324">
        <v>102041.93</v>
      </c>
      <c r="F22" s="280">
        <v>90415.18</v>
      </c>
      <c r="G22" s="323">
        <f>E22-F22</f>
        <v>11626.75</v>
      </c>
      <c r="H22" s="318" t="s">
        <v>183</v>
      </c>
      <c r="I22" s="260">
        <v>102041.93</v>
      </c>
    </row>
    <row r="23" spans="1:9" ht="15" x14ac:dyDescent="0.25">
      <c r="A23" s="287">
        <v>16</v>
      </c>
      <c r="B23" s="264" t="s">
        <v>177</v>
      </c>
      <c r="C23" s="260" t="s">
        <v>179</v>
      </c>
      <c r="D23" s="310" t="s">
        <v>179</v>
      </c>
      <c r="E23" s="324">
        <v>506649.07</v>
      </c>
      <c r="F23" s="280">
        <v>503695.06</v>
      </c>
      <c r="G23" s="323">
        <f>E23-F23</f>
        <v>2954.0100000000093</v>
      </c>
      <c r="H23" s="340" t="s">
        <v>181</v>
      </c>
      <c r="I23" s="260">
        <v>503649.07</v>
      </c>
    </row>
    <row r="24" spans="1:9" s="351" customFormat="1" ht="15" customHeight="1" thickBot="1" x14ac:dyDescent="0.25">
      <c r="A24" s="287">
        <v>17</v>
      </c>
      <c r="B24" s="343" t="s">
        <v>212</v>
      </c>
      <c r="C24" s="352"/>
      <c r="D24" s="353"/>
      <c r="E24" s="354"/>
      <c r="F24" s="355"/>
      <c r="G24" s="356"/>
      <c r="H24" s="357"/>
      <c r="I24" s="358">
        <v>24846.86</v>
      </c>
    </row>
    <row r="25" spans="1:9" ht="19.5" customHeight="1" thickBot="1" x14ac:dyDescent="0.3">
      <c r="A25" s="288"/>
      <c r="B25" s="364" t="s">
        <v>155</v>
      </c>
      <c r="C25" s="361" t="s">
        <v>93</v>
      </c>
      <c r="D25" s="360" t="s">
        <v>93</v>
      </c>
      <c r="E25" s="286">
        <f>SUM(E18:E23)</f>
        <v>2961129.2</v>
      </c>
      <c r="F25" s="286">
        <f>SUM(F18:F23)</f>
        <v>2688235.97</v>
      </c>
      <c r="G25" s="286">
        <f>SUM(G18:G23)</f>
        <v>272893.2300000001</v>
      </c>
      <c r="H25" s="276"/>
      <c r="I25" s="277">
        <f>SUM(I18:I23)</f>
        <v>2967383.2</v>
      </c>
    </row>
    <row r="26" spans="1:9" ht="18.75" customHeight="1" thickBot="1" x14ac:dyDescent="0.3">
      <c r="A26" s="288"/>
      <c r="B26" s="364" t="s">
        <v>77</v>
      </c>
      <c r="C26" s="361" t="s">
        <v>93</v>
      </c>
      <c r="D26" s="360" t="s">
        <v>93</v>
      </c>
      <c r="E26" s="275">
        <f>E17+E25</f>
        <v>4970042.54</v>
      </c>
      <c r="F26" s="275">
        <f>F17+F25</f>
        <v>4683486.3499999996</v>
      </c>
      <c r="G26" s="275">
        <f>G17+G25</f>
        <v>287296.02000000008</v>
      </c>
      <c r="H26" s="363"/>
      <c r="I26" s="275">
        <f>I17+I25</f>
        <v>4976296.54</v>
      </c>
    </row>
    <row r="27" spans="1:9" x14ac:dyDescent="0.2">
      <c r="C27" s="266"/>
      <c r="H27" s="265"/>
    </row>
  </sheetData>
  <phoneticPr fontId="13" type="noConversion"/>
  <printOptions horizontalCentered="1" verticalCentered="1"/>
  <pageMargins left="0" right="0" top="0" bottom="0" header="0" footer="0"/>
  <pageSetup paperSize="9" scale="64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F5" sqref="F5"/>
    </sheetView>
  </sheetViews>
  <sheetFormatPr defaultRowHeight="12.75" x14ac:dyDescent="0.2"/>
  <cols>
    <col min="1" max="1" width="7.5703125" customWidth="1"/>
    <col min="2" max="2" width="52.42578125" customWidth="1"/>
    <col min="3" max="3" width="14.28515625" customWidth="1"/>
    <col min="4" max="4" width="17.140625" customWidth="1"/>
    <col min="8" max="8" width="43.5703125" customWidth="1"/>
  </cols>
  <sheetData>
    <row r="1" spans="1:8" ht="20.25" x14ac:dyDescent="0.3">
      <c r="A1" s="367" t="s">
        <v>173</v>
      </c>
      <c r="B1" s="367"/>
      <c r="C1" s="367"/>
      <c r="D1" s="367"/>
    </row>
    <row r="2" spans="1:8" ht="94.5" x14ac:dyDescent="0.2">
      <c r="A2" s="221" t="s">
        <v>172</v>
      </c>
      <c r="B2" s="222" t="s">
        <v>158</v>
      </c>
      <c r="C2" s="221" t="s">
        <v>170</v>
      </c>
      <c r="D2" s="221" t="s">
        <v>171</v>
      </c>
    </row>
    <row r="3" spans="1:8" ht="31.5" x14ac:dyDescent="0.2">
      <c r="A3" s="221">
        <v>1</v>
      </c>
      <c r="B3" s="227" t="s">
        <v>174</v>
      </c>
      <c r="C3" s="233">
        <v>9.59</v>
      </c>
      <c r="D3" s="233">
        <v>10.39</v>
      </c>
    </row>
    <row r="4" spans="1:8" ht="15.75" x14ac:dyDescent="0.2">
      <c r="A4" s="221">
        <v>2</v>
      </c>
      <c r="B4" s="228" t="s">
        <v>186</v>
      </c>
      <c r="C4" s="234">
        <v>1.18</v>
      </c>
      <c r="D4" s="234">
        <v>2.29</v>
      </c>
      <c r="H4" s="225"/>
    </row>
    <row r="5" spans="1:8" ht="31.5" x14ac:dyDescent="0.2">
      <c r="A5" s="221">
        <v>3</v>
      </c>
      <c r="B5" s="223" t="s">
        <v>168</v>
      </c>
      <c r="C5" s="221">
        <v>5.08</v>
      </c>
      <c r="D5" s="235">
        <v>5.84</v>
      </c>
      <c r="H5" s="225"/>
    </row>
    <row r="6" spans="1:8" ht="31.5" x14ac:dyDescent="0.2">
      <c r="A6" s="221">
        <v>4</v>
      </c>
      <c r="B6" s="229" t="s">
        <v>169</v>
      </c>
      <c r="C6" s="235">
        <v>1.41</v>
      </c>
      <c r="D6" s="235">
        <v>1.52</v>
      </c>
      <c r="H6" s="225"/>
    </row>
    <row r="7" spans="1:8" ht="15.75" x14ac:dyDescent="0.2">
      <c r="A7" s="237">
        <v>5</v>
      </c>
      <c r="B7" s="228" t="s">
        <v>189</v>
      </c>
      <c r="C7" s="236">
        <v>0.34</v>
      </c>
      <c r="D7" s="236">
        <v>0.34</v>
      </c>
      <c r="H7" s="225"/>
    </row>
    <row r="8" spans="1:8" x14ac:dyDescent="0.2">
      <c r="A8" s="372" t="s">
        <v>193</v>
      </c>
      <c r="B8" s="368" t="s">
        <v>79</v>
      </c>
      <c r="C8" s="370">
        <v>2.84</v>
      </c>
      <c r="D8" s="370">
        <v>2.84</v>
      </c>
      <c r="H8" s="225"/>
    </row>
    <row r="9" spans="1:8" x14ac:dyDescent="0.2">
      <c r="A9" s="373"/>
      <c r="B9" s="369"/>
      <c r="C9" s="371"/>
      <c r="D9" s="371"/>
      <c r="H9" s="225"/>
    </row>
    <row r="10" spans="1:8" ht="15.75" x14ac:dyDescent="0.2">
      <c r="A10" s="253">
        <v>7</v>
      </c>
      <c r="B10" s="229" t="s">
        <v>201</v>
      </c>
      <c r="C10" s="232">
        <v>1.26</v>
      </c>
      <c r="D10" s="232">
        <v>1.36</v>
      </c>
      <c r="H10" s="225"/>
    </row>
    <row r="11" spans="1:8" ht="15.75" x14ac:dyDescent="0.2">
      <c r="A11" s="237" t="s">
        <v>194</v>
      </c>
      <c r="B11" s="228" t="s">
        <v>191</v>
      </c>
      <c r="C11" s="232">
        <v>0.59</v>
      </c>
      <c r="D11" s="232">
        <v>0.62</v>
      </c>
      <c r="H11" s="225"/>
    </row>
    <row r="12" spans="1:8" ht="15.75" x14ac:dyDescent="0.2">
      <c r="A12" s="237" t="s">
        <v>200</v>
      </c>
      <c r="B12" s="228" t="s">
        <v>206</v>
      </c>
      <c r="C12" s="232">
        <v>3.24</v>
      </c>
      <c r="D12" s="232">
        <v>3.24</v>
      </c>
      <c r="H12" s="225"/>
    </row>
    <row r="13" spans="1:8" ht="37.5" x14ac:dyDescent="0.2">
      <c r="A13" s="237"/>
      <c r="B13" s="238" t="s">
        <v>195</v>
      </c>
      <c r="C13" s="221"/>
      <c r="D13" s="224"/>
      <c r="H13" s="225"/>
    </row>
    <row r="14" spans="1:8" ht="15.75" x14ac:dyDescent="0.25">
      <c r="A14" s="237" t="s">
        <v>196</v>
      </c>
      <c r="B14" s="230" t="s">
        <v>175</v>
      </c>
      <c r="C14" s="236" t="s">
        <v>176</v>
      </c>
      <c r="D14" s="236">
        <v>1621.95</v>
      </c>
      <c r="H14" s="225"/>
    </row>
    <row r="15" spans="1:8" ht="15.75" x14ac:dyDescent="0.25">
      <c r="A15" s="237" t="s">
        <v>185</v>
      </c>
      <c r="B15" s="230" t="s">
        <v>165</v>
      </c>
      <c r="C15" s="236">
        <v>23.13</v>
      </c>
      <c r="D15" s="236">
        <v>25.44</v>
      </c>
    </row>
    <row r="16" spans="1:8" ht="15.75" x14ac:dyDescent="0.25">
      <c r="A16" s="237" t="s">
        <v>187</v>
      </c>
      <c r="B16" s="230" t="s">
        <v>166</v>
      </c>
      <c r="C16" s="236">
        <v>23.13</v>
      </c>
      <c r="D16" s="236">
        <v>25.44</v>
      </c>
    </row>
    <row r="17" spans="1:4" ht="15.75" x14ac:dyDescent="0.2">
      <c r="A17" s="237" t="s">
        <v>188</v>
      </c>
      <c r="B17" s="231" t="s">
        <v>167</v>
      </c>
      <c r="C17" s="236" t="s">
        <v>207</v>
      </c>
      <c r="D17" s="236" t="s">
        <v>208</v>
      </c>
    </row>
    <row r="18" spans="1:4" ht="15.75" x14ac:dyDescent="0.2">
      <c r="A18" s="237" t="s">
        <v>197</v>
      </c>
      <c r="B18" s="231" t="s">
        <v>177</v>
      </c>
      <c r="C18" s="236" t="s">
        <v>179</v>
      </c>
      <c r="D18" s="236">
        <v>97.32</v>
      </c>
    </row>
    <row r="19" spans="1:4" ht="15.75" x14ac:dyDescent="0.2">
      <c r="A19" s="237" t="s">
        <v>193</v>
      </c>
      <c r="B19" s="231" t="s">
        <v>178</v>
      </c>
      <c r="C19" s="236" t="s">
        <v>180</v>
      </c>
      <c r="D19" s="236" t="s">
        <v>180</v>
      </c>
    </row>
    <row r="20" spans="1:4" ht="15.75" x14ac:dyDescent="0.2">
      <c r="A20" s="237"/>
      <c r="B20" s="223"/>
      <c r="C20" s="221"/>
      <c r="D20" s="221"/>
    </row>
    <row r="21" spans="1:4" ht="15.75" x14ac:dyDescent="0.2">
      <c r="A21" s="237"/>
      <c r="B21" s="223"/>
      <c r="C21" s="226"/>
      <c r="D21" s="226"/>
    </row>
  </sheetData>
  <mergeCells count="5">
    <mergeCell ref="A1:D1"/>
    <mergeCell ref="B8:B9"/>
    <mergeCell ref="C8:C9"/>
    <mergeCell ref="D8:D9"/>
    <mergeCell ref="A8:A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1" sqref="K21"/>
    </sheetView>
  </sheetViews>
  <sheetFormatPr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workbookViewId="0">
      <selection activeCell="D12" sqref="D12"/>
    </sheetView>
  </sheetViews>
  <sheetFormatPr defaultRowHeight="12.75" x14ac:dyDescent="0.2"/>
  <cols>
    <col min="2" max="2" width="42.28515625" customWidth="1"/>
    <col min="3" max="3" width="26.85546875" customWidth="1"/>
    <col min="4" max="4" width="28.28515625" customWidth="1"/>
  </cols>
  <sheetData>
    <row r="2" spans="1:13" ht="24.75" customHeight="1" x14ac:dyDescent="0.3">
      <c r="A2" s="374" t="s">
        <v>202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3" ht="24" thickBot="1" x14ac:dyDescent="0.4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4" thickBot="1" x14ac:dyDescent="0.4">
      <c r="A4" s="240"/>
      <c r="B4" s="241" t="s">
        <v>192</v>
      </c>
      <c r="C4" s="242" t="s">
        <v>151</v>
      </c>
      <c r="D4" s="243" t="s">
        <v>159</v>
      </c>
      <c r="E4" s="240"/>
      <c r="F4" s="240"/>
      <c r="G4" s="240"/>
      <c r="H4" s="240"/>
      <c r="I4" s="240"/>
      <c r="J4" s="240"/>
      <c r="K4" s="240"/>
      <c r="L4" s="240"/>
      <c r="M4" s="240"/>
    </row>
    <row r="5" spans="1:13" ht="24" thickBot="1" x14ac:dyDescent="0.4">
      <c r="A5" s="240"/>
      <c r="B5" s="244"/>
      <c r="C5" s="245" t="s">
        <v>148</v>
      </c>
      <c r="D5" s="243" t="s">
        <v>151</v>
      </c>
      <c r="E5" s="240"/>
      <c r="F5" s="240"/>
      <c r="G5" s="240"/>
      <c r="H5" s="240"/>
      <c r="I5" s="240"/>
      <c r="J5" s="240"/>
      <c r="K5" s="240"/>
      <c r="L5" s="240"/>
      <c r="M5" s="240"/>
    </row>
    <row r="6" spans="1:13" ht="24" thickBot="1" x14ac:dyDescent="0.4">
      <c r="A6" s="240"/>
      <c r="B6" s="244"/>
      <c r="C6" s="245" t="s">
        <v>152</v>
      </c>
      <c r="D6" s="243" t="s">
        <v>152</v>
      </c>
      <c r="E6" s="240"/>
      <c r="F6" s="240"/>
      <c r="G6" s="240"/>
      <c r="H6" s="240"/>
      <c r="I6" s="240"/>
      <c r="J6" s="240"/>
      <c r="K6" s="240"/>
      <c r="L6" s="240"/>
      <c r="M6" s="240"/>
    </row>
    <row r="7" spans="1:13" ht="24" thickBot="1" x14ac:dyDescent="0.4">
      <c r="A7" s="240"/>
      <c r="B7" s="244"/>
      <c r="C7" s="246"/>
      <c r="D7" s="247"/>
      <c r="E7" s="240"/>
      <c r="F7" s="240"/>
      <c r="G7" s="240"/>
      <c r="H7" s="240"/>
      <c r="I7" s="240"/>
      <c r="J7" s="240"/>
      <c r="K7" s="240"/>
      <c r="L7" s="240"/>
      <c r="M7" s="240"/>
    </row>
    <row r="8" spans="1:13" ht="47.25" thickBot="1" x14ac:dyDescent="0.4">
      <c r="A8" s="240"/>
      <c r="B8" s="251" t="s">
        <v>147</v>
      </c>
      <c r="C8" s="248">
        <v>13662.96</v>
      </c>
      <c r="D8" s="248">
        <v>13662.96</v>
      </c>
      <c r="E8" s="240"/>
      <c r="F8" s="240"/>
      <c r="G8" s="240"/>
      <c r="H8" s="240"/>
      <c r="I8" s="240"/>
      <c r="J8" s="240"/>
      <c r="K8" s="240"/>
      <c r="L8" s="240"/>
      <c r="M8" s="240"/>
    </row>
    <row r="9" spans="1:13" ht="46.5" x14ac:dyDescent="0.35">
      <c r="A9" s="240"/>
      <c r="B9" s="252" t="s">
        <v>155</v>
      </c>
      <c r="C9" s="239">
        <v>267893.23</v>
      </c>
      <c r="D9" s="239">
        <v>267893.23</v>
      </c>
      <c r="E9" s="240"/>
      <c r="F9" s="240"/>
      <c r="G9" s="240"/>
      <c r="H9" s="240"/>
      <c r="I9" s="240"/>
      <c r="J9" s="240"/>
      <c r="K9" s="240"/>
      <c r="L9" s="240"/>
      <c r="M9" s="240"/>
    </row>
    <row r="10" spans="1:13" ht="23.25" x14ac:dyDescent="0.35">
      <c r="A10" s="240"/>
      <c r="B10" s="249" t="s">
        <v>77</v>
      </c>
      <c r="C10" s="239">
        <f>SUM(C8:C9)</f>
        <v>281556.19</v>
      </c>
      <c r="D10" s="239">
        <f>SUM(D8:D9)</f>
        <v>281556.19</v>
      </c>
      <c r="E10" s="240"/>
      <c r="F10" s="240"/>
      <c r="G10" s="240"/>
      <c r="H10" s="240"/>
      <c r="I10" s="240"/>
      <c r="J10" s="240"/>
      <c r="K10" s="240"/>
      <c r="L10" s="240"/>
      <c r="M10" s="240"/>
    </row>
    <row r="11" spans="1:13" ht="23.25" x14ac:dyDescent="0.35">
      <c r="A11" s="240"/>
      <c r="B11" s="240"/>
      <c r="C11" s="254"/>
      <c r="D11" s="240"/>
      <c r="E11" s="240"/>
      <c r="F11" s="240"/>
      <c r="G11" s="240"/>
      <c r="H11" s="240"/>
      <c r="I11" s="240"/>
      <c r="J11" s="240"/>
      <c r="K11" s="240"/>
      <c r="L11" s="240"/>
      <c r="M11" s="240"/>
    </row>
    <row r="12" spans="1:13" ht="23.25" x14ac:dyDescent="0.35">
      <c r="A12" s="240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</row>
    <row r="13" spans="1:13" ht="23.25" x14ac:dyDescent="0.35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</row>
    <row r="14" spans="1:13" ht="23.25" x14ac:dyDescent="0.35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</row>
    <row r="15" spans="1:13" ht="23.25" x14ac:dyDescent="0.35">
      <c r="A15" s="240"/>
      <c r="B15" s="240"/>
      <c r="C15" s="250"/>
      <c r="D15" s="240"/>
      <c r="E15" s="240"/>
      <c r="F15" s="240"/>
      <c r="G15" s="240"/>
      <c r="H15" s="240"/>
      <c r="I15" s="240"/>
      <c r="J15" s="240"/>
      <c r="K15" s="240"/>
      <c r="L15" s="240"/>
      <c r="M15" s="240"/>
    </row>
    <row r="16" spans="1:13" ht="23.25" x14ac:dyDescent="0.35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</row>
    <row r="17" spans="1:13" ht="23.25" x14ac:dyDescent="0.35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</row>
    <row r="18" spans="1:13" ht="23.25" x14ac:dyDescent="0.35">
      <c r="A18" s="240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</row>
  </sheetData>
  <mergeCells count="1">
    <mergeCell ref="A2:M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титул</vt:lpstr>
      <vt:lpstr>2009</vt:lpstr>
      <vt:lpstr>О поступлении денежных средств</vt:lpstr>
      <vt:lpstr>Справка о тарифах</vt:lpstr>
      <vt:lpstr>Лист5</vt:lpstr>
      <vt:lpstr>задолжность</vt:lpstr>
      <vt:lpstr>'О поступлении денежных средств'!Область_печати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Admin</cp:lastModifiedBy>
  <cp:lastPrinted>2017-03-28T14:53:11Z</cp:lastPrinted>
  <dcterms:created xsi:type="dcterms:W3CDTF">2010-03-19T07:34:08Z</dcterms:created>
  <dcterms:modified xsi:type="dcterms:W3CDTF">2017-04-05T17:36:22Z</dcterms:modified>
</cp:coreProperties>
</file>