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11"/>
  <workbookPr/>
  <bookViews>
    <workbookView xWindow="0" yWindow="0" windowWidth="10800" windowHeight="11760" firstSheet="3" activeTab="3"/>
  </bookViews>
  <sheets>
    <sheet name="Лист1" sheetId="1" state="hidden" r:id="rId1"/>
    <sheet name="титул" sheetId="2" r:id="rId2"/>
    <sheet name="2009" sheetId="3" state="hidden" r:id="rId3"/>
    <sheet name="О поступлении денежных средств" sheetId="4" r:id="rId4"/>
    <sheet name="Задолженность общая" sheetId="5" r:id="rId5"/>
    <sheet name="Справка о тарифах" sheetId="6" r:id="rId6"/>
    <sheet name="Работы производимые в 2015 году" sheetId="7" r:id="rId7"/>
    <sheet name="Лист5" sheetId="8" r:id="rId8"/>
  </sheets>
  <calcPr calcId="171026"/>
</workbook>
</file>

<file path=xl/calcChain.xml><?xml version="1.0" encoding="utf-8"?>
<calcChain xmlns="http://schemas.openxmlformats.org/spreadsheetml/2006/main">
  <c r="G28" i="4" l="1"/>
  <c r="G23" i="4"/>
  <c r="G29" i="4"/>
  <c r="K13" i="4"/>
  <c r="D23" i="4"/>
  <c r="D28" i="4"/>
  <c r="D29" i="4"/>
  <c r="L24" i="4"/>
  <c r="L25" i="4"/>
  <c r="L26" i="4"/>
  <c r="K28" i="4"/>
  <c r="I12" i="4"/>
  <c r="I13" i="4"/>
  <c r="I15" i="4"/>
  <c r="I17" i="4"/>
  <c r="I18" i="4"/>
  <c r="I19" i="4"/>
  <c r="I20" i="4"/>
  <c r="I21" i="4"/>
  <c r="I7" i="4"/>
  <c r="I23" i="4"/>
  <c r="I24" i="4"/>
  <c r="I25" i="4"/>
  <c r="I26" i="4"/>
  <c r="I27" i="4"/>
  <c r="I28" i="4"/>
  <c r="I29" i="4"/>
  <c r="H23" i="4"/>
  <c r="H28" i="4"/>
  <c r="H29" i="4"/>
  <c r="E23" i="4"/>
  <c r="E28" i="4"/>
  <c r="E29" i="4"/>
  <c r="K12" i="4"/>
  <c r="K17" i="4"/>
  <c r="K20" i="4"/>
  <c r="K21" i="4"/>
  <c r="K7" i="4"/>
  <c r="K23" i="4"/>
  <c r="K29" i="4"/>
  <c r="G28" i="5"/>
  <c r="I28" i="5"/>
  <c r="K26" i="5"/>
  <c r="K25" i="5"/>
  <c r="K24" i="5"/>
  <c r="K23" i="5"/>
  <c r="K27" i="5"/>
  <c r="K28" i="5"/>
  <c r="F12" i="5"/>
  <c r="K12" i="5"/>
  <c r="K13" i="5"/>
  <c r="K15" i="5"/>
  <c r="K16" i="5"/>
  <c r="K17" i="5"/>
  <c r="K18" i="5"/>
  <c r="K19" i="5"/>
  <c r="K20" i="5"/>
  <c r="F7" i="5"/>
  <c r="K7" i="5"/>
  <c r="K22" i="5"/>
  <c r="K29" i="5"/>
  <c r="K11" i="5"/>
  <c r="K10" i="5"/>
  <c r="K9" i="5"/>
  <c r="K8" i="5"/>
  <c r="G22" i="5"/>
  <c r="F13" i="5"/>
  <c r="J13" i="5"/>
  <c r="L14" i="5"/>
  <c r="E11" i="4"/>
  <c r="I11" i="4"/>
  <c r="E10" i="4"/>
  <c r="I10" i="4"/>
  <c r="E9" i="4"/>
  <c r="I9" i="4"/>
  <c r="E8" i="4"/>
  <c r="D11" i="4"/>
  <c r="K11" i="4"/>
  <c r="D10" i="4"/>
  <c r="M8" i="4"/>
  <c r="M11" i="4"/>
  <c r="D9" i="4"/>
  <c r="K9" i="4"/>
  <c r="D8" i="4"/>
  <c r="K8" i="4"/>
  <c r="H9" i="3"/>
  <c r="I9" i="3"/>
  <c r="J9" i="3"/>
  <c r="K9" i="3"/>
  <c r="G9" i="3"/>
  <c r="M9" i="3"/>
  <c r="N9" i="3"/>
  <c r="L9" i="3"/>
  <c r="S9" i="3"/>
  <c r="F10" i="3"/>
  <c r="H11" i="3"/>
  <c r="I11" i="3"/>
  <c r="J11" i="3"/>
  <c r="K11" i="3"/>
  <c r="G11" i="3"/>
  <c r="M11" i="3"/>
  <c r="L11" i="3"/>
  <c r="F12" i="3"/>
  <c r="G12" i="3"/>
  <c r="R12" i="3"/>
  <c r="F13" i="3"/>
  <c r="H13" i="3"/>
  <c r="I13" i="3"/>
  <c r="J13" i="3"/>
  <c r="K13" i="3"/>
  <c r="G13" i="3"/>
  <c r="M13" i="3"/>
  <c r="L13" i="3"/>
  <c r="F14" i="3"/>
  <c r="H14" i="3"/>
  <c r="I14" i="3"/>
  <c r="J14" i="3"/>
  <c r="K14" i="3"/>
  <c r="G14" i="3"/>
  <c r="M14" i="3"/>
  <c r="L14" i="3"/>
  <c r="S14" i="3"/>
  <c r="F15" i="3"/>
  <c r="H15" i="3"/>
  <c r="I15" i="3"/>
  <c r="J15" i="3"/>
  <c r="K15" i="3"/>
  <c r="G15" i="3"/>
  <c r="M15" i="3"/>
  <c r="L15" i="3"/>
  <c r="S15" i="3"/>
  <c r="F16" i="3"/>
  <c r="H16" i="3"/>
  <c r="I16" i="3"/>
  <c r="J16" i="3"/>
  <c r="K16" i="3"/>
  <c r="G16" i="3"/>
  <c r="M16" i="3"/>
  <c r="L16" i="3"/>
  <c r="S16" i="3"/>
  <c r="I17" i="3"/>
  <c r="J17" i="3"/>
  <c r="K17" i="3"/>
  <c r="G17" i="3"/>
  <c r="M17" i="3"/>
  <c r="L17" i="3"/>
  <c r="R17" i="3"/>
  <c r="F18" i="3"/>
  <c r="H18" i="3"/>
  <c r="I18" i="3"/>
  <c r="J18" i="3"/>
  <c r="K18" i="3"/>
  <c r="G18" i="3"/>
  <c r="M18" i="3"/>
  <c r="L18" i="3"/>
  <c r="S18" i="3"/>
  <c r="F19" i="3"/>
  <c r="F20" i="3"/>
  <c r="H19" i="3"/>
  <c r="I19" i="3"/>
  <c r="J19" i="3"/>
  <c r="K19" i="3"/>
  <c r="G19" i="3"/>
  <c r="M19" i="3"/>
  <c r="L19" i="3"/>
  <c r="S19" i="3"/>
  <c r="I20" i="3"/>
  <c r="J20" i="3"/>
  <c r="K20" i="3"/>
  <c r="M20" i="3"/>
  <c r="N20" i="3"/>
  <c r="L20" i="3"/>
  <c r="H21" i="3"/>
  <c r="I21" i="3"/>
  <c r="J21" i="3"/>
  <c r="K21" i="3"/>
  <c r="G21" i="3"/>
  <c r="M21" i="3"/>
  <c r="N21" i="3"/>
  <c r="L21" i="3"/>
  <c r="R21" i="3"/>
  <c r="H24" i="3"/>
  <c r="I24" i="3"/>
  <c r="J24" i="3"/>
  <c r="K24" i="3"/>
  <c r="G24" i="3"/>
  <c r="M24" i="3"/>
  <c r="N24" i="3"/>
  <c r="L24" i="3"/>
  <c r="F25" i="3"/>
  <c r="H25" i="3"/>
  <c r="I25" i="3"/>
  <c r="J25" i="3"/>
  <c r="K25" i="3"/>
  <c r="G25" i="3"/>
  <c r="M25" i="3"/>
  <c r="N25" i="3"/>
  <c r="L25" i="3"/>
  <c r="H26" i="3"/>
  <c r="I26" i="3"/>
  <c r="J26" i="3"/>
  <c r="K26" i="3"/>
  <c r="G26" i="3"/>
  <c r="M26" i="3"/>
  <c r="N26" i="3"/>
  <c r="L26" i="3"/>
  <c r="S27" i="3"/>
  <c r="I28" i="3"/>
  <c r="J28" i="3"/>
  <c r="K28" i="3"/>
  <c r="M28" i="3"/>
  <c r="N28" i="3"/>
  <c r="R28" i="3"/>
  <c r="D44" i="3"/>
  <c r="F44" i="3"/>
  <c r="D46" i="3"/>
  <c r="F46" i="3"/>
  <c r="D48" i="3"/>
  <c r="F48" i="3"/>
  <c r="D49" i="3"/>
  <c r="F49" i="3"/>
  <c r="D50" i="3"/>
  <c r="F51" i="3"/>
  <c r="F6" i="5"/>
  <c r="I6" i="5"/>
  <c r="J6" i="5"/>
  <c r="D8" i="5"/>
  <c r="E8" i="5"/>
  <c r="F8" i="5"/>
  <c r="J8" i="5"/>
  <c r="D9" i="5"/>
  <c r="E9" i="5"/>
  <c r="J9" i="5"/>
  <c r="D10" i="5"/>
  <c r="E10" i="5"/>
  <c r="J10" i="5"/>
  <c r="D11" i="5"/>
  <c r="E11" i="5"/>
  <c r="J11" i="5"/>
  <c r="F16" i="5"/>
  <c r="J16" i="5"/>
  <c r="L16" i="5"/>
  <c r="F17" i="5"/>
  <c r="L17" i="5"/>
  <c r="F18" i="5"/>
  <c r="L18" i="5"/>
  <c r="F19" i="5"/>
  <c r="J19" i="5"/>
  <c r="L19" i="5"/>
  <c r="F20" i="5"/>
  <c r="J20" i="5"/>
  <c r="D22" i="5"/>
  <c r="E22" i="5"/>
  <c r="F23" i="5"/>
  <c r="J23" i="5"/>
  <c r="L23" i="5"/>
  <c r="F24" i="5"/>
  <c r="L24" i="5"/>
  <c r="F25" i="5"/>
  <c r="J25" i="5"/>
  <c r="L25" i="5"/>
  <c r="D28" i="5"/>
  <c r="E28" i="5"/>
  <c r="I6" i="4"/>
  <c r="K6" i="4"/>
  <c r="I8" i="4"/>
  <c r="L12" i="4"/>
  <c r="L14" i="4"/>
  <c r="L17" i="4"/>
  <c r="L18" i="4"/>
  <c r="L19" i="4"/>
  <c r="L20" i="4"/>
  <c r="F50" i="3"/>
  <c r="S26" i="3"/>
  <c r="S21" i="3"/>
  <c r="S17" i="3"/>
  <c r="S13" i="3"/>
  <c r="J7" i="5"/>
  <c r="S24" i="3"/>
  <c r="L28" i="3"/>
  <c r="S11" i="3"/>
  <c r="S28" i="3"/>
  <c r="H20" i="3"/>
  <c r="G20" i="3"/>
  <c r="G28" i="3"/>
  <c r="H28" i="3"/>
  <c r="L23" i="4"/>
  <c r="F22" i="5"/>
  <c r="E29" i="5"/>
  <c r="K6" i="5"/>
  <c r="D29" i="5"/>
  <c r="F11" i="5"/>
  <c r="F28" i="5"/>
  <c r="F29" i="5"/>
  <c r="F10" i="5"/>
  <c r="F9" i="5"/>
  <c r="L12" i="5"/>
  <c r="L22" i="5"/>
  <c r="L29" i="5"/>
  <c r="G29" i="5"/>
  <c r="M8" i="5"/>
  <c r="M11" i="5"/>
  <c r="C6" i="5"/>
  <c r="C6" i="4"/>
  <c r="L29" i="4"/>
  <c r="J17" i="5"/>
  <c r="J24" i="5"/>
  <c r="J28" i="5"/>
  <c r="J18" i="5"/>
  <c r="J12" i="5"/>
  <c r="J22" i="5"/>
  <c r="J29" i="5"/>
  <c r="I22" i="5"/>
  <c r="I29" i="5"/>
</calcChain>
</file>

<file path=xl/sharedStrings.xml><?xml version="1.0" encoding="utf-8"?>
<sst xmlns="http://schemas.openxmlformats.org/spreadsheetml/2006/main" count="547" uniqueCount="337">
  <si>
    <t>Наименование ТСЖ  : Пулковский Меридиан</t>
  </si>
  <si>
    <t>ТСЖ "7-я Красноармейская д.18</t>
  </si>
  <si>
    <t>ООО "УК "Петербургский Дом"</t>
  </si>
  <si>
    <t>Адрес:  С-Петербург, Дунайский пр. д.3.к.2</t>
  </si>
  <si>
    <t>Санкт-Петербург,7-я Красноармейская д.18</t>
  </si>
  <si>
    <t xml:space="preserve">                      ТАБЛИЦА  СТАВОК  И  УСЛУГ</t>
  </si>
  <si>
    <t xml:space="preserve">                      с  01  сентября 2009 года по 31декабря 2009 года</t>
  </si>
  <si>
    <t>Общая площадь дома  ( этажей)</t>
  </si>
  <si>
    <t>м2                    2900</t>
  </si>
  <si>
    <t>Проживает  (чел)</t>
  </si>
  <si>
    <t xml:space="preserve">отапливаемая площадь </t>
  </si>
  <si>
    <t>м2</t>
  </si>
  <si>
    <t>Количество квартир</t>
  </si>
  <si>
    <t>Прописано (чел)</t>
  </si>
  <si>
    <t>Нежилые помещения</t>
  </si>
  <si>
    <t xml:space="preserve">№ </t>
  </si>
  <si>
    <t>Наименование  услуги</t>
  </si>
  <si>
    <t>Тариф</t>
  </si>
  <si>
    <t>Вид  начисления</t>
  </si>
  <si>
    <t xml:space="preserve">Начисляется </t>
  </si>
  <si>
    <t>п/п</t>
  </si>
  <si>
    <t>в руб.</t>
  </si>
  <si>
    <t>(кв.м., чел., кв-ра)</t>
  </si>
  <si>
    <t>в месяц</t>
  </si>
  <si>
    <t xml:space="preserve">поставщик </t>
  </si>
  <si>
    <t xml:space="preserve">жилые и </t>
  </si>
  <si>
    <t>жилые помещ</t>
  </si>
  <si>
    <t>услуги</t>
  </si>
  <si>
    <t>нежилые</t>
  </si>
  <si>
    <t>Содержание  общего  имущества</t>
  </si>
  <si>
    <t>многоквартирного  дома</t>
  </si>
  <si>
    <t>с общей площади</t>
  </si>
  <si>
    <t>Текущий  ремонт общего имущества</t>
  </si>
  <si>
    <t>многоквартирных домов</t>
  </si>
  <si>
    <t>Содержание  придомовой  территории</t>
  </si>
  <si>
    <t>Очистка  мусоропроводов</t>
  </si>
  <si>
    <t>Уборка  лестничных  клеток</t>
  </si>
  <si>
    <t>нет</t>
  </si>
  <si>
    <t>Вывоз  твердых бытовых отходов</t>
  </si>
  <si>
    <t>Техническое обслуживание   и  ремонт лифтов</t>
  </si>
  <si>
    <t>с общей площади*</t>
  </si>
  <si>
    <t>Содержание  и ремонт ПЗУ</t>
  </si>
  <si>
    <t>с квартиры</t>
  </si>
  <si>
    <t>Холодное  водоснабжение и канализация</t>
  </si>
  <si>
    <t>с человека</t>
  </si>
  <si>
    <t>счетчики</t>
  </si>
  <si>
    <t>м3</t>
  </si>
  <si>
    <t>горячее водоснабжение</t>
  </si>
  <si>
    <t>Отопление</t>
  </si>
  <si>
    <t>Газ</t>
  </si>
  <si>
    <t>Радио</t>
  </si>
  <si>
    <t>Телетрансляция</t>
  </si>
  <si>
    <t>За банковское обслуживание</t>
  </si>
  <si>
    <t>На содержание ТСЖ</t>
  </si>
  <si>
    <t>Управленческие расходы</t>
  </si>
  <si>
    <t>На  капитальный  ремонт  здания</t>
  </si>
  <si>
    <t>Услуги ВЦКП</t>
  </si>
  <si>
    <t>ООО "УК "Петербургский Дом"  ___________________  Васильева И.Х.</t>
  </si>
  <si>
    <t>Наименование ТСН : "Фонтанка 131/36"</t>
  </si>
  <si>
    <t>Адрес: наб. реки Фонтанки 131/36</t>
  </si>
  <si>
    <t>Общая  полезная площадь дома,  м2</t>
  </si>
  <si>
    <t xml:space="preserve">Площадь жилая </t>
  </si>
  <si>
    <t>Площадь нежилых помещений</t>
  </si>
  <si>
    <t>СМЕТА доходов и расходов за период июль - декабрь 2015 года</t>
  </si>
  <si>
    <t>Наименование ТСЖ  : "7 Рота"</t>
  </si>
  <si>
    <t>Адрес: 7 Красноармейская ул.д.18</t>
  </si>
  <si>
    <t>СМЕТА доходов и расходов с 01.09.09г. по 28.02.2010г.</t>
  </si>
  <si>
    <t>Общая площадь дома  (этажей)</t>
  </si>
  <si>
    <t>Проживает</t>
  </si>
  <si>
    <t xml:space="preserve">Начислено </t>
  </si>
  <si>
    <t>Поставщики</t>
  </si>
  <si>
    <t>№</t>
  </si>
  <si>
    <t>Услуги</t>
  </si>
  <si>
    <t xml:space="preserve">Услуги </t>
  </si>
  <si>
    <t>Разница</t>
  </si>
  <si>
    <t xml:space="preserve">в 2009г </t>
  </si>
  <si>
    <t>в 2010г.</t>
  </si>
  <si>
    <t>услуг</t>
  </si>
  <si>
    <t>договора</t>
  </si>
  <si>
    <t>поставщиков</t>
  </si>
  <si>
    <t>поставщика</t>
  </si>
  <si>
    <t>с 01.09.09</t>
  </si>
  <si>
    <t>с 01.01.10</t>
  </si>
  <si>
    <t>по ведом.</t>
  </si>
  <si>
    <t>сентябрь</t>
  </si>
  <si>
    <t>октябрь</t>
  </si>
  <si>
    <t>ноябрь</t>
  </si>
  <si>
    <t>декабрь</t>
  </si>
  <si>
    <t>январь</t>
  </si>
  <si>
    <t>февраль</t>
  </si>
  <si>
    <t>.</t>
  </si>
  <si>
    <t>по договорам</t>
  </si>
  <si>
    <t>за период</t>
  </si>
  <si>
    <t>планово</t>
  </si>
  <si>
    <t>ВЦКП</t>
  </si>
  <si>
    <t>отчета</t>
  </si>
  <si>
    <t>УК "ПД"</t>
  </si>
  <si>
    <t>с общей пл.</t>
  </si>
  <si>
    <t>от 01.09.2009</t>
  </si>
  <si>
    <t>Содержание и ремонт сист.газосн.</t>
  </si>
  <si>
    <t>ООО"ПетербургГаз"</t>
  </si>
  <si>
    <t>№1.ВД.00744</t>
  </si>
  <si>
    <t>от 01.01.2009</t>
  </si>
  <si>
    <t>в стадии заключения</t>
  </si>
  <si>
    <t>накопленные средства</t>
  </si>
  <si>
    <t>Содержание и ремонт лифтов</t>
  </si>
  <si>
    <t>1 парадная</t>
  </si>
  <si>
    <t>ООО"ОТИС Лифт"</t>
  </si>
  <si>
    <t>№2166</t>
  </si>
  <si>
    <t>ПЗУ</t>
  </si>
  <si>
    <t>ООО"Конфидент-Сервис"</t>
  </si>
  <si>
    <t>Управление м\к домом</t>
  </si>
  <si>
    <t>ВСЕГО ао Жилищным услугам</t>
  </si>
  <si>
    <t>Холодное водоснабжение</t>
  </si>
  <si>
    <t>11.14/199.86</t>
  </si>
  <si>
    <t>13.15/235.90</t>
  </si>
  <si>
    <t>за куб./1 чел</t>
  </si>
  <si>
    <t>ГУП "Водоканал СПб"</t>
  </si>
  <si>
    <t xml:space="preserve">07-68483/10-ЖК </t>
  </si>
  <si>
    <t>Канализование холодной воды</t>
  </si>
  <si>
    <t>за куб.</t>
  </si>
  <si>
    <t>Канализование горячей воды</t>
  </si>
  <si>
    <t>Горячее водоснабжение</t>
  </si>
  <si>
    <t>47.74/217.69</t>
  </si>
  <si>
    <t>55.86/254.72</t>
  </si>
  <si>
    <t>ОАО "ТГК №1"</t>
  </si>
  <si>
    <t>№7922</t>
  </si>
  <si>
    <t>без февраля</t>
  </si>
  <si>
    <t>за 1 чел.</t>
  </si>
  <si>
    <t>ООО"Петербургрегионгаз"</t>
  </si>
  <si>
    <t>Электроснабжение МОП</t>
  </si>
  <si>
    <t>ИТОГО:</t>
  </si>
  <si>
    <t xml:space="preserve"> </t>
  </si>
  <si>
    <t>ТСЖ "7-я Рота"  ___________________  Семенова Т.А.</t>
  </si>
  <si>
    <t>Генеральный директор ООО "УК "Петербургский Дом"</t>
  </si>
  <si>
    <t>Васильева И.Х.</t>
  </si>
  <si>
    <t>Расходы на текущий ремонт</t>
  </si>
  <si>
    <t xml:space="preserve">Очистка кровили </t>
  </si>
  <si>
    <t>Ремонт стояка ЦО парад. №1</t>
  </si>
  <si>
    <t>(по ванным комнатам)</t>
  </si>
  <si>
    <t>Электроснабжение МОП не начислялось.  ЖКС №1 выставлены счета с опозданием за период с 01.09.2009 по 31.01.2010 на сумму 70375.22</t>
  </si>
  <si>
    <t>Счета включают</t>
  </si>
  <si>
    <t>эл.снабжение лифтов</t>
  </si>
  <si>
    <t>эл.снабжение теплоцентра</t>
  </si>
  <si>
    <t>освещение МОП</t>
  </si>
  <si>
    <t>столярная мастерская ЖКС №1</t>
  </si>
  <si>
    <t>подвальное помещение (сауна)</t>
  </si>
  <si>
    <t>спецподвал</t>
  </si>
  <si>
    <t>Нежилой фонд</t>
  </si>
  <si>
    <t xml:space="preserve">Общая площадь </t>
  </si>
  <si>
    <t>начислено за отчетный период</t>
  </si>
  <si>
    <t>21.64/23.80</t>
  </si>
  <si>
    <t>9746.66/10719.52</t>
  </si>
  <si>
    <t>Отчет по смете доходов и расходов за  2015 год</t>
  </si>
  <si>
    <t>Тарифы</t>
  </si>
  <si>
    <t>Начисления</t>
  </si>
  <si>
    <t>Поступления</t>
  </si>
  <si>
    <t>Всего</t>
  </si>
  <si>
    <t>Задолженность</t>
  </si>
  <si>
    <t>для населения</t>
  </si>
  <si>
    <t>Жилой фонд</t>
  </si>
  <si>
    <t>для нежилого фонда</t>
  </si>
  <si>
    <t>поставщикам</t>
  </si>
  <si>
    <t>с 01.07.2015</t>
  </si>
  <si>
    <t>руб.</t>
  </si>
  <si>
    <t>коп./ м.кв.</t>
  </si>
  <si>
    <t>коп./м.кв.</t>
  </si>
  <si>
    <t>отчета, руб.</t>
  </si>
  <si>
    <t xml:space="preserve"> Итого по всемжилищным услугам</t>
  </si>
  <si>
    <t>УК "Петербургский дом", ООО "Мехуборка"</t>
  </si>
  <si>
    <t>Содержание  общего  имущества многоквартирного дома, в т.ч.</t>
  </si>
  <si>
    <t>УК "Петербургский дом"</t>
  </si>
  <si>
    <t>1.1</t>
  </si>
  <si>
    <t>Обеспечение надежности и безопасности МКД, обеспечение надежностикоммуникаций,приборов учета и другогооборудования, осмотробщего имущества</t>
  </si>
  <si>
    <t>УК "Петербургский дом</t>
  </si>
  <si>
    <t>1.2</t>
  </si>
  <si>
    <t>Уборка лестничных клеток</t>
  </si>
  <si>
    <t>1.3</t>
  </si>
  <si>
    <t>Вывоз и утилизация твердых бытовых отходов</t>
  </si>
  <si>
    <t>ООО "Экопром"</t>
  </si>
  <si>
    <t>1.4</t>
  </si>
  <si>
    <t>Очистка кровли от наледи и снега</t>
  </si>
  <si>
    <t>Эксплуатация коллективных ПУ</t>
  </si>
  <si>
    <t>УК "Петербургский дом", ООО "БСТ"</t>
  </si>
  <si>
    <t>Текущий  ремонт общего имущества многоквартирного дома</t>
  </si>
  <si>
    <t>ОТИС ЛИФТ</t>
  </si>
  <si>
    <t>Уборка и санитарная очистка земельного участка</t>
  </si>
  <si>
    <t>ПЗУ, в данную статью входят затраты на обслуживание домофонов.</t>
  </si>
  <si>
    <t>ООО "Компания АНБС"</t>
  </si>
  <si>
    <t>Сод.и текущий ремонт систем газоснабжения</t>
  </si>
  <si>
    <t>ООО "Петербург Газ"</t>
  </si>
  <si>
    <t xml:space="preserve">Взнос на капитальный ремонт </t>
  </si>
  <si>
    <t>Региональный оператор по кап.ремонту</t>
  </si>
  <si>
    <t>Управление МКД</t>
  </si>
  <si>
    <t xml:space="preserve"> (в т.ч. обслуживание ВЦКП по адресу:  наб. реки Фонтанки 131/36)</t>
  </si>
  <si>
    <t>ВСЕГО по Жилищным услугам</t>
  </si>
  <si>
    <t>руб.\ед. услуги</t>
  </si>
  <si>
    <t>Холодное водоснабжение, м.куб.</t>
  </si>
  <si>
    <t xml:space="preserve"> ГУП "Водоканал Санкт-Петербурга"</t>
  </si>
  <si>
    <t>Водоотведение, м. куб</t>
  </si>
  <si>
    <t>Электроснабжение МОП, кВт\ч</t>
  </si>
  <si>
    <t>3.91/2.30</t>
  </si>
  <si>
    <t xml:space="preserve"> АО "ПСК"</t>
  </si>
  <si>
    <t xml:space="preserve">Отопление руб/Гкал   </t>
  </si>
  <si>
    <t>ОАО "ТГК-1"</t>
  </si>
  <si>
    <t>ВСЕГО по Коммунальным услугам</t>
  </si>
  <si>
    <t>Задолженность ООО "Жилкомсервис №1 Адмиралтейского района" за услуги теплоснабжения многоквартирногодома по адресу 7-я Красноармейская ул. 7/16, подключенного через тепловой узел дома, составляет: 1 628 502, 60 рублей.</t>
  </si>
  <si>
    <t xml:space="preserve">Тарифы </t>
  </si>
  <si>
    <t>Общая</t>
  </si>
  <si>
    <t>Справочно</t>
  </si>
  <si>
    <t>для начисления</t>
  </si>
  <si>
    <t>ко./м.кв.</t>
  </si>
  <si>
    <t>Управление м\к домовязанные с деятельностью</t>
  </si>
  <si>
    <t xml:space="preserve"> (в т.ч. обслуживание ВЦКП, )</t>
  </si>
  <si>
    <t>Задолженность по нежилому фонду. Данная задолженность образовывается в связи с наличием пустующих помещений. По ним сумма не возмещается.</t>
  </si>
  <si>
    <t>3.91/2.3</t>
  </si>
  <si>
    <t>Отопление руб/Гкал</t>
  </si>
  <si>
    <t>Справка о тарифах на  Коммунальные услуги</t>
  </si>
  <si>
    <t>N пп</t>
  </si>
  <si>
    <t>Наименование услуги (работы)</t>
  </si>
  <si>
    <t>За 1 кв. м общей площади жилого помещения, руб. в месяц</t>
  </si>
  <si>
    <t>Управление многоквартирным домом</t>
  </si>
  <si>
    <t>Содержание общего имущества в многоквартирном доме в том числе:</t>
  </si>
  <si>
    <t>2.1.</t>
  </si>
  <si>
    <t>Обеспечение надежности и безопасности многоквартирного дома; обеспечение постоянной готовности инженерных коммуникаций, приборов учета и другого оборудования; осмотр общего имущества, в том числе:</t>
  </si>
  <si>
    <t>2.1.1.</t>
  </si>
  <si>
    <t>Технические осмотры</t>
  </si>
  <si>
    <t>0.39</t>
  </si>
  <si>
    <t>2.1.2.</t>
  </si>
  <si>
    <t>Замер сопротивления изоляции проводов, обслуживание объединенных диспетчерских систем, проверка монометров, счетчиков и др. работы</t>
  </si>
  <si>
    <t>2.1.3.</t>
  </si>
  <si>
    <t>Услуги аварийного обслуживания</t>
  </si>
  <si>
    <t>2.1.4.</t>
  </si>
  <si>
    <t>Работы по подготовке домов к сезонной эксплуатации</t>
  </si>
  <si>
    <t>2.1.5.</t>
  </si>
  <si>
    <t>Услуги по дератизации</t>
  </si>
  <si>
    <t>2.1.6.</t>
  </si>
  <si>
    <t>Услуги по обследованию аварийных квартир, технической инвентаризации, техническому обслуживанию узлов учета, транспортные расходы по обслуживанию домовладений</t>
  </si>
  <si>
    <t>2.2.</t>
  </si>
  <si>
    <t>2.3.</t>
  </si>
  <si>
    <t>Вывоз твердых бытовых отходов, в том числе утилизация</t>
  </si>
  <si>
    <t>2.4.</t>
  </si>
  <si>
    <t>Очистка кровли от наледи и уборка снега</t>
  </si>
  <si>
    <t xml:space="preserve">Текущий ремонт общего имущества в многоквартирном доме, в том числе ремонт сантехнического оборудования, лестничных клеток, узлов, фасадные работы </t>
  </si>
  <si>
    <t>Уборка и санитарно-гигиеническая очистка земельного участка, входящего в состав общего имущества, содержание и уход за элементами озеленения, находящимися на земельном участке, входящем в состав общего имущества, а также иными объектами, расположенными на</t>
  </si>
  <si>
    <t>Очистка мусоропроводов (при наличии в составе общего имущества в многоквартирном доме)</t>
  </si>
  <si>
    <t>Содержание и ремонт переговорно-замочного устройства (автоматически запирающегося устройства двери подъезда) (при наличии в составе общего имущества в многоквартирном доме)</t>
  </si>
  <si>
    <t>Содержание и ремонт систем автоматизированной противопожарной защиты (при наличии в составе общего имущества в многоквартирном доме)</t>
  </si>
  <si>
    <t>Содержание и текущий ремонт внутридомовых инженерных систем газоснабжения (при наличии в составе общего имущества в многоквартирном доме)</t>
  </si>
  <si>
    <t>Эксплуатация коллективных (общедомовых) приборов учета используемых энергетических ресурсов (при наличии в составе общего имущества в многоквартирном доме).</t>
  </si>
  <si>
    <t>№ пп</t>
  </si>
  <si>
    <t>Вид коммунальной услуги</t>
  </si>
  <si>
    <t>Единицы измерения</t>
  </si>
  <si>
    <t>Величина с НДС</t>
  </si>
  <si>
    <t>Распоряжение</t>
  </si>
  <si>
    <t>N</t>
  </si>
  <si>
    <t>За 1 кв. м</t>
  </si>
  <si>
    <t>Комитета</t>
  </si>
  <si>
    <t>общей</t>
  </si>
  <si>
    <t>площади</t>
  </si>
  <si>
    <t>по тарифам</t>
  </si>
  <si>
    <t>комнат в</t>
  </si>
  <si>
    <t>Санкт-Петербурга</t>
  </si>
  <si>
    <t>жилого</t>
  </si>
  <si>
    <t>общежитиях,</t>
  </si>
  <si>
    <t>Теплоснабжение (отопление)</t>
  </si>
  <si>
    <t>от 19.12.2014 № 596-р</t>
  </si>
  <si>
    <t>помещения,</t>
  </si>
  <si>
    <t>Электроснабжение, за исключением указанного в пункте 3.3</t>
  </si>
  <si>
    <t>от 26.12.2014 № 614-р</t>
  </si>
  <si>
    <t>Содержание общего имущества в многоквартирном</t>
  </si>
  <si>
    <t>дневная зона</t>
  </si>
  <si>
    <t>руб./кВт∙ч</t>
  </si>
  <si>
    <t xml:space="preserve">общего имущества в многоквартирном доме,    </t>
  </si>
  <si>
    <t>ночная зона</t>
  </si>
  <si>
    <t xml:space="preserve">утвержденными постановлением Правительства  </t>
  </si>
  <si>
    <t>Электроснабжение, за исключением указанного в пункте 3.4</t>
  </si>
  <si>
    <t xml:space="preserve">Российской Федерации от 13.08.2006 N 491,   </t>
  </si>
  <si>
    <t xml:space="preserve">за исключением услуг и работ по содержанию  </t>
  </si>
  <si>
    <t>Одноставочный тариф</t>
  </si>
  <si>
    <t>Тариф, дифференцированный по двум зонам суток:</t>
  </si>
  <si>
    <t xml:space="preserve">предусмотренных пунктами 4 - 10 настоящего  </t>
  </si>
  <si>
    <t xml:space="preserve">приложения)                                 </t>
  </si>
  <si>
    <t xml:space="preserve">Текущий ремонт общего имущества в           </t>
  </si>
  <si>
    <t>3.3.</t>
  </si>
  <si>
    <t>Электроснабжение в домах с электроплитами</t>
  </si>
  <si>
    <t>многоквартирном доме (включает в себя услуги</t>
  </si>
  <si>
    <t>с 01.01.2015</t>
  </si>
  <si>
    <t>и работы по текущему ремонту общего имущества</t>
  </si>
  <si>
    <t xml:space="preserve">в многоквартирном доме в соответствии с     </t>
  </si>
  <si>
    <t xml:space="preserve">Правилами содержания общего имущества в     </t>
  </si>
  <si>
    <t xml:space="preserve">многоквартирном доме, утвержденными         </t>
  </si>
  <si>
    <t xml:space="preserve">постановлением Правительства Российской     </t>
  </si>
  <si>
    <t>Федерации от 13.08.2006 N 491, за исключением</t>
  </si>
  <si>
    <t xml:space="preserve">услуг и работ по текущему ремонту общего    </t>
  </si>
  <si>
    <t xml:space="preserve">имущества в многоквартирном доме,           </t>
  </si>
  <si>
    <t>предусмотренных пунктами 4, 6 - 10 настоящего</t>
  </si>
  <si>
    <t>приложения) &lt;**&gt;</t>
  </si>
  <si>
    <t xml:space="preserve">Уборка и санитарно-гигиеническая очистка    </t>
  </si>
  <si>
    <t>Газоснабжение</t>
  </si>
  <si>
    <t>от 30.12.2014 № 624-р</t>
  </si>
  <si>
    <t>земельного участка, входящего в состав общего</t>
  </si>
  <si>
    <t>руб./1000 м3</t>
  </si>
  <si>
    <t xml:space="preserve">имущества, содержание и уход за элементами  </t>
  </si>
  <si>
    <t>5 581,94</t>
  </si>
  <si>
    <t xml:space="preserve">озеленения, находящимися на земельном       </t>
  </si>
  <si>
    <t>Водоснабжение, водоотведение</t>
  </si>
  <si>
    <t>от 19.12.2014 № 594-р</t>
  </si>
  <si>
    <t>участке, входящем в состав общего имущества,</t>
  </si>
  <si>
    <t>руб./ м3</t>
  </si>
  <si>
    <t xml:space="preserve">а также иными объектами, расположенными на  </t>
  </si>
  <si>
    <t xml:space="preserve">земельном участке, предназначенными для     </t>
  </si>
  <si>
    <t>Цена на уголь</t>
  </si>
  <si>
    <t>от 19.12.2014 № 595-р</t>
  </si>
  <si>
    <t>обслуживания, эксплуатации и благоустройства</t>
  </si>
  <si>
    <t xml:space="preserve">этого многоквартирного дома                 </t>
  </si>
  <si>
    <t>Очистка мусоропроводов (при наличии в составе</t>
  </si>
  <si>
    <t xml:space="preserve">общего имущества в многоквартирном доме)    </t>
  </si>
  <si>
    <t xml:space="preserve">Содержание и ремонт переговорно-замочного   </t>
  </si>
  <si>
    <t xml:space="preserve">устройства (автоматически запирающегося     </t>
  </si>
  <si>
    <t xml:space="preserve">устройства двери подъезда) (при наличии в   </t>
  </si>
  <si>
    <t xml:space="preserve">составе общего имущества в многоквартирном  </t>
  </si>
  <si>
    <t xml:space="preserve">доме)                                       </t>
  </si>
  <si>
    <t>Содержание и ремонт систем автоматизированной</t>
  </si>
  <si>
    <t>противопожарной защиты (при наличии в составе</t>
  </si>
  <si>
    <t xml:space="preserve">Содержание и текущий ремонт внутридомовых   </t>
  </si>
  <si>
    <t>инженерных систем газоснабжения (при наличии</t>
  </si>
  <si>
    <t>в составе общего имущества в многоквартирном</t>
  </si>
  <si>
    <t xml:space="preserve">Эксплуатация коллективных (общедомовых)     </t>
  </si>
  <si>
    <t xml:space="preserve">приборов учета используемых энергетических  </t>
  </si>
  <si>
    <t xml:space="preserve">ресурсов (при наличии в составе общего      </t>
  </si>
  <si>
    <t xml:space="preserve">имущества в многоквартирном доме), в т.ч.:  </t>
  </si>
  <si>
    <t xml:space="preserve">эксплуатация приборов учета электрической   </t>
  </si>
  <si>
    <t xml:space="preserve">энергии                                     </t>
  </si>
  <si>
    <t>эксплуатация приборов учета тепловой энергии</t>
  </si>
  <si>
    <t xml:space="preserve">и горячей воды                              </t>
  </si>
  <si>
    <t xml:space="preserve">эксплуатация приборов учета холодной воды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</si>
</sst>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0.00;[Red]0.00"/>
    <numFmt numFmtId="168" formatCode="#,##0;[Red]#,##0"/>
  </numFmts>
  <fonts count="41">
    <font>
      <sz val="10"/>
      <name val="Arial Cyr"/>
      <charset val="129"/>
    </font>
    <font>
      <sz val="10"/>
      <name val="Arial Cyr"/>
      <charset val="129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129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129"/>
    </font>
    <font>
      <b/>
      <u/>
      <sz val="11"/>
      <name val="Arial"/>
      <family val="2"/>
      <charset val="204"/>
    </font>
    <font>
      <b/>
      <sz val="10"/>
      <name val="Arial Cyr"/>
      <charset val="129"/>
    </font>
    <font>
      <b/>
      <u/>
      <sz val="10"/>
      <name val="Arial Cyr"/>
      <charset val="129"/>
    </font>
    <font>
      <u/>
      <sz val="10"/>
      <name val="Arial Cyr"/>
      <charset val="129"/>
    </font>
    <font>
      <b/>
      <i/>
      <u/>
      <sz val="8"/>
      <name val="Arial"/>
      <family val="2"/>
      <charset val="204"/>
    </font>
    <font>
      <u/>
      <sz val="9"/>
      <name val="Arial Cyr"/>
      <charset val="129"/>
    </font>
    <font>
      <sz val="10"/>
      <color indexed="8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4"/>
      <name val="Arial Cyr"/>
      <charset val="129"/>
    </font>
    <font>
      <b/>
      <sz val="14"/>
      <name val="Arial"/>
      <family val="2"/>
      <charset val="204"/>
    </font>
    <font>
      <b/>
      <u/>
      <sz val="20"/>
      <name val="Arial"/>
      <family val="2"/>
      <charset val="204"/>
    </font>
    <font>
      <b/>
      <u/>
      <sz val="16"/>
      <name val="Arial Cyr"/>
      <charset val="129"/>
    </font>
    <font>
      <sz val="16"/>
      <name val="Arial"/>
      <family val="2"/>
      <charset val="204"/>
    </font>
    <font>
      <sz val="12"/>
      <name val="Times New Roman"/>
      <family val="1"/>
      <charset val="204"/>
    </font>
    <font>
      <sz val="16"/>
      <name val="Arial Cyr"/>
      <charset val="129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Inherit"/>
      <charset val="129"/>
    </font>
    <font>
      <sz val="11"/>
      <color indexed="9"/>
      <name val="Times New Roman"/>
      <family val="1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129"/>
    </font>
    <font>
      <b/>
      <i/>
      <sz val="11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2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" xfId="0" applyFont="1" applyFill="1" applyBorder="1"/>
    <xf numFmtId="0" fontId="2" fillId="0" borderId="0" xfId="0" applyFont="1" applyBorder="1" applyAlignment="1">
      <alignment horizontal="right"/>
    </xf>
    <xf numFmtId="3" fontId="2" fillId="0" borderId="18" xfId="0" applyNumberFormat="1" applyFont="1" applyBorder="1" applyAlignment="1">
      <alignment horizontal="center"/>
    </xf>
    <xf numFmtId="165" fontId="0" fillId="0" borderId="0" xfId="0" applyNumberFormat="1" applyFont="1"/>
    <xf numFmtId="165" fontId="4" fillId="0" borderId="0" xfId="0" applyNumberFormat="1" applyFont="1"/>
    <xf numFmtId="165" fontId="5" fillId="0" borderId="0" xfId="0" applyNumberFormat="1" applyFont="1"/>
    <xf numFmtId="0" fontId="4" fillId="0" borderId="0" xfId="0" applyFont="1"/>
    <xf numFmtId="165" fontId="6" fillId="0" borderId="0" xfId="0" applyNumberFormat="1" applyFont="1"/>
    <xf numFmtId="0" fontId="5" fillId="0" borderId="0" xfId="0" applyFont="1"/>
    <xf numFmtId="165" fontId="4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8" fillId="0" borderId="26" xfId="0" applyFont="1" applyBorder="1"/>
    <xf numFmtId="165" fontId="9" fillId="0" borderId="27" xfId="0" applyNumberFormat="1" applyFont="1" applyBorder="1"/>
    <xf numFmtId="165" fontId="9" fillId="0" borderId="28" xfId="0" applyNumberFormat="1" applyFont="1" applyBorder="1"/>
    <xf numFmtId="165" fontId="10" fillId="0" borderId="28" xfId="0" applyNumberFormat="1" applyFont="1" applyBorder="1"/>
    <xf numFmtId="165" fontId="10" fillId="0" borderId="29" xfId="0" applyNumberFormat="1" applyFont="1" applyBorder="1"/>
    <xf numFmtId="165" fontId="10" fillId="0" borderId="30" xfId="0" applyNumberFormat="1" applyFont="1" applyBorder="1"/>
    <xf numFmtId="165" fontId="10" fillId="0" borderId="31" xfId="0" applyNumberFormat="1" applyFont="1" applyBorder="1"/>
    <xf numFmtId="0" fontId="10" fillId="0" borderId="0" xfId="0" applyFont="1"/>
    <xf numFmtId="166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left"/>
    </xf>
    <xf numFmtId="165" fontId="10" fillId="0" borderId="0" xfId="0" applyNumberFormat="1" applyFont="1"/>
    <xf numFmtId="166" fontId="9" fillId="0" borderId="0" xfId="0" applyNumberFormat="1" applyFont="1" applyAlignment="1">
      <alignment horizontal="left"/>
    </xf>
    <xf numFmtId="0" fontId="11" fillId="0" borderId="0" xfId="0" applyFont="1"/>
    <xf numFmtId="0" fontId="9" fillId="0" borderId="33" xfId="0" applyFont="1" applyBorder="1"/>
    <xf numFmtId="0" fontId="9" fillId="0" borderId="34" xfId="0" applyFont="1" applyBorder="1"/>
    <xf numFmtId="165" fontId="9" fillId="0" borderId="34" xfId="0" applyNumberFormat="1" applyFont="1" applyBorder="1"/>
    <xf numFmtId="165" fontId="10" fillId="0" borderId="34" xfId="0" applyNumberFormat="1" applyFont="1" applyBorder="1"/>
    <xf numFmtId="0" fontId="9" fillId="0" borderId="35" xfId="0" applyFont="1" applyBorder="1"/>
    <xf numFmtId="0" fontId="9" fillId="0" borderId="37" xfId="0" applyFont="1" applyBorder="1"/>
    <xf numFmtId="0" fontId="10" fillId="0" borderId="25" xfId="0" applyFont="1" applyBorder="1"/>
    <xf numFmtId="0" fontId="10" fillId="0" borderId="18" xfId="0" applyFont="1" applyBorder="1"/>
    <xf numFmtId="165" fontId="9" fillId="0" borderId="18" xfId="0" applyNumberFormat="1" applyFont="1" applyBorder="1"/>
    <xf numFmtId="165" fontId="10" fillId="0" borderId="18" xfId="0" applyNumberFormat="1" applyFont="1" applyBorder="1"/>
    <xf numFmtId="0" fontId="9" fillId="0" borderId="16" xfId="0" applyFont="1" applyBorder="1"/>
    <xf numFmtId="0" fontId="9" fillId="0" borderId="18" xfId="0" applyFont="1" applyBorder="1"/>
    <xf numFmtId="0" fontId="10" fillId="0" borderId="40" xfId="0" applyFont="1" applyBorder="1"/>
    <xf numFmtId="0" fontId="10" fillId="0" borderId="16" xfId="0" applyFont="1" applyBorder="1"/>
    <xf numFmtId="0" fontId="10" fillId="0" borderId="42" xfId="0" applyFont="1" applyBorder="1"/>
    <xf numFmtId="0" fontId="10" fillId="0" borderId="21" xfId="0" applyFont="1" applyBorder="1"/>
    <xf numFmtId="165" fontId="9" fillId="0" borderId="21" xfId="0" applyNumberFormat="1" applyFont="1" applyBorder="1"/>
    <xf numFmtId="165" fontId="10" fillId="0" borderId="21" xfId="0" applyNumberFormat="1" applyFont="1" applyBorder="1"/>
    <xf numFmtId="0" fontId="10" fillId="0" borderId="19" xfId="0" applyFont="1" applyBorder="1"/>
    <xf numFmtId="0" fontId="10" fillId="0" borderId="44" xfId="0" applyFont="1" applyBorder="1"/>
    <xf numFmtId="0" fontId="10" fillId="0" borderId="14" xfId="0" applyFont="1" applyBorder="1"/>
    <xf numFmtId="165" fontId="10" fillId="0" borderId="14" xfId="0" applyNumberFormat="1" applyFont="1" applyBorder="1"/>
    <xf numFmtId="165" fontId="9" fillId="0" borderId="14" xfId="0" applyNumberFormat="1" applyFont="1" applyBorder="1"/>
    <xf numFmtId="0" fontId="10" fillId="0" borderId="12" xfId="0" applyFont="1" applyBorder="1"/>
    <xf numFmtId="165" fontId="10" fillId="0" borderId="15" xfId="0" applyNumberFormat="1" applyFont="1" applyBorder="1"/>
    <xf numFmtId="165" fontId="10" fillId="0" borderId="39" xfId="0" applyNumberFormat="1" applyFont="1" applyBorder="1"/>
    <xf numFmtId="0" fontId="10" fillId="0" borderId="28" xfId="0" applyFont="1" applyBorder="1"/>
    <xf numFmtId="0" fontId="10" fillId="0" borderId="10" xfId="0" applyFont="1" applyBorder="1"/>
    <xf numFmtId="165" fontId="10" fillId="0" borderId="10" xfId="0" applyNumberFormat="1" applyFont="1" applyBorder="1"/>
    <xf numFmtId="165" fontId="9" fillId="0" borderId="10" xfId="0" applyNumberFormat="1" applyFont="1" applyBorder="1"/>
    <xf numFmtId="0" fontId="10" fillId="0" borderId="8" xfId="0" applyFont="1" applyBorder="1"/>
    <xf numFmtId="165" fontId="10" fillId="0" borderId="11" xfId="0" applyNumberFormat="1" applyFont="1" applyBorder="1"/>
    <xf numFmtId="0" fontId="10" fillId="0" borderId="31" xfId="0" applyFont="1" applyBorder="1"/>
    <xf numFmtId="0" fontId="9" fillId="0" borderId="47" xfId="0" applyFont="1" applyBorder="1"/>
    <xf numFmtId="165" fontId="10" fillId="0" borderId="48" xfId="0" applyNumberFormat="1" applyFont="1" applyBorder="1"/>
    <xf numFmtId="0" fontId="10" fillId="0" borderId="49" xfId="0" applyFont="1" applyBorder="1"/>
    <xf numFmtId="165" fontId="9" fillId="0" borderId="49" xfId="0" applyNumberFormat="1" applyFont="1" applyBorder="1"/>
    <xf numFmtId="165" fontId="10" fillId="0" borderId="49" xfId="0" applyNumberFormat="1" applyFont="1" applyBorder="1"/>
    <xf numFmtId="0" fontId="10" fillId="0" borderId="50" xfId="0" applyFont="1" applyBorder="1"/>
    <xf numFmtId="165" fontId="9" fillId="0" borderId="51" xfId="0" applyNumberFormat="1" applyFont="1" applyBorder="1"/>
    <xf numFmtId="0" fontId="9" fillId="0" borderId="52" xfId="0" applyFont="1" applyBorder="1"/>
    <xf numFmtId="0" fontId="10" fillId="0" borderId="46" xfId="0" applyFont="1" applyBorder="1"/>
    <xf numFmtId="0" fontId="9" fillId="0" borderId="47" xfId="0" applyFont="1" applyFill="1" applyBorder="1"/>
    <xf numFmtId="0" fontId="9" fillId="0" borderId="49" xfId="0" applyFont="1" applyBorder="1"/>
    <xf numFmtId="0" fontId="9" fillId="0" borderId="50" xfId="0" applyFont="1" applyBorder="1"/>
    <xf numFmtId="165" fontId="10" fillId="0" borderId="51" xfId="0" applyNumberFormat="1" applyFont="1" applyBorder="1"/>
    <xf numFmtId="0" fontId="12" fillId="0" borderId="0" xfId="0" applyFont="1"/>
    <xf numFmtId="165" fontId="9" fillId="0" borderId="52" xfId="0" applyNumberFormat="1" applyFont="1" applyBorder="1"/>
    <xf numFmtId="0" fontId="7" fillId="0" borderId="33" xfId="0" applyFont="1" applyBorder="1"/>
    <xf numFmtId="165" fontId="10" fillId="0" borderId="27" xfId="0" applyNumberFormat="1" applyFont="1" applyBorder="1"/>
    <xf numFmtId="0" fontId="10" fillId="0" borderId="34" xfId="0" applyFont="1" applyBorder="1"/>
    <xf numFmtId="0" fontId="10" fillId="0" borderId="35" xfId="0" applyFont="1" applyBorder="1"/>
    <xf numFmtId="165" fontId="10" fillId="0" borderId="36" xfId="0" applyNumberFormat="1" applyFont="1" applyBorder="1"/>
    <xf numFmtId="165" fontId="10" fillId="0" borderId="37" xfId="0" applyNumberFormat="1" applyFont="1" applyBorder="1"/>
    <xf numFmtId="0" fontId="7" fillId="0" borderId="42" xfId="0" applyFont="1" applyBorder="1"/>
    <xf numFmtId="165" fontId="10" fillId="0" borderId="43" xfId="0" applyNumberFormat="1" applyFont="1" applyBorder="1"/>
    <xf numFmtId="14" fontId="10" fillId="0" borderId="21" xfId="0" applyNumberFormat="1" applyFont="1" applyBorder="1"/>
    <xf numFmtId="0" fontId="13" fillId="0" borderId="0" xfId="0" applyFont="1"/>
    <xf numFmtId="165" fontId="11" fillId="0" borderId="18" xfId="0" applyNumberFormat="1" applyFont="1" applyBorder="1"/>
    <xf numFmtId="165" fontId="11" fillId="0" borderId="28" xfId="0" applyNumberFormat="1" applyFont="1" applyBorder="1"/>
    <xf numFmtId="0" fontId="0" fillId="0" borderId="10" xfId="0" applyBorder="1"/>
    <xf numFmtId="0" fontId="0" fillId="0" borderId="14" xfId="0" applyBorder="1"/>
    <xf numFmtId="0" fontId="0" fillId="0" borderId="46" xfId="0" applyBorder="1"/>
    <xf numFmtId="165" fontId="0" fillId="0" borderId="53" xfId="0" applyNumberFormat="1" applyFont="1" applyBorder="1"/>
    <xf numFmtId="165" fontId="0" fillId="0" borderId="9" xfId="0" applyNumberFormat="1" applyFont="1" applyBorder="1"/>
    <xf numFmtId="0" fontId="0" fillId="0" borderId="31" xfId="0" applyBorder="1"/>
    <xf numFmtId="165" fontId="0" fillId="0" borderId="54" xfId="0" applyNumberFormat="1" applyFont="1" applyBorder="1"/>
    <xf numFmtId="165" fontId="0" fillId="0" borderId="0" xfId="0" applyNumberFormat="1" applyFont="1" applyBorder="1"/>
    <xf numFmtId="0" fontId="0" fillId="0" borderId="55" xfId="0" applyBorder="1"/>
    <xf numFmtId="165" fontId="0" fillId="0" borderId="45" xfId="0" applyNumberFormat="1" applyFont="1" applyBorder="1"/>
    <xf numFmtId="165" fontId="0" fillId="0" borderId="13" xfId="0" applyNumberFormat="1" applyFont="1" applyBorder="1"/>
    <xf numFmtId="0" fontId="0" fillId="0" borderId="30" xfId="0" applyBorder="1"/>
    <xf numFmtId="0" fontId="7" fillId="0" borderId="32" xfId="0" applyFont="1" applyBorder="1"/>
    <xf numFmtId="0" fontId="7" fillId="0" borderId="41" xfId="0" applyFont="1" applyBorder="1"/>
    <xf numFmtId="0" fontId="14" fillId="0" borderId="0" xfId="0" applyFont="1"/>
    <xf numFmtId="165" fontId="15" fillId="0" borderId="0" xfId="0" applyNumberFormat="1" applyFont="1"/>
    <xf numFmtId="0" fontId="15" fillId="0" borderId="0" xfId="0" applyFont="1"/>
    <xf numFmtId="165" fontId="14" fillId="0" borderId="0" xfId="0" applyNumberFormat="1" applyFont="1"/>
    <xf numFmtId="165" fontId="17" fillId="0" borderId="0" xfId="0" applyNumberFormat="1" applyFont="1"/>
    <xf numFmtId="165" fontId="0" fillId="0" borderId="1" xfId="0" applyNumberFormat="1" applyFont="1" applyBorder="1"/>
    <xf numFmtId="165" fontId="0" fillId="0" borderId="3" xfId="0" applyNumberFormat="1" applyFont="1" applyBorder="1"/>
    <xf numFmtId="0" fontId="0" fillId="0" borderId="56" xfId="0" applyBorder="1"/>
    <xf numFmtId="165" fontId="0" fillId="0" borderId="57" xfId="0" applyNumberFormat="1" applyFont="1" applyBorder="1"/>
    <xf numFmtId="165" fontId="0" fillId="0" borderId="58" xfId="0" applyNumberFormat="1" applyFont="1" applyBorder="1"/>
    <xf numFmtId="165" fontId="0" fillId="0" borderId="59" xfId="0" applyNumberFormat="1" applyFont="1" applyBorder="1"/>
    <xf numFmtId="0" fontId="0" fillId="0" borderId="60" xfId="0" applyBorder="1"/>
    <xf numFmtId="165" fontId="0" fillId="0" borderId="61" xfId="0" applyNumberFormat="1" applyFont="1" applyBorder="1"/>
    <xf numFmtId="0" fontId="7" fillId="0" borderId="62" xfId="0" applyFont="1" applyBorder="1"/>
    <xf numFmtId="165" fontId="0" fillId="0" borderId="49" xfId="0" applyNumberFormat="1" applyFont="1" applyBorder="1"/>
    <xf numFmtId="165" fontId="0" fillId="0" borderId="63" xfId="0" applyNumberFormat="1" applyFont="1" applyBorder="1"/>
    <xf numFmtId="0" fontId="0" fillId="0" borderId="63" xfId="0" applyBorder="1"/>
    <xf numFmtId="165" fontId="0" fillId="0" borderId="52" xfId="0" applyNumberFormat="1" applyFont="1" applyBorder="1"/>
    <xf numFmtId="0" fontId="16" fillId="0" borderId="64" xfId="0" applyFont="1" applyBorder="1"/>
    <xf numFmtId="165" fontId="1" fillId="0" borderId="54" xfId="0" applyNumberFormat="1" applyFont="1" applyBorder="1"/>
    <xf numFmtId="0" fontId="15" fillId="0" borderId="54" xfId="0" applyFont="1" applyBorder="1"/>
    <xf numFmtId="165" fontId="15" fillId="0" borderId="55" xfId="0" applyNumberFormat="1" applyFont="1" applyBorder="1"/>
    <xf numFmtId="165" fontId="11" fillId="0" borderId="49" xfId="0" applyNumberFormat="1" applyFont="1" applyBorder="1"/>
    <xf numFmtId="165" fontId="11" fillId="0" borderId="63" xfId="0" applyNumberFormat="1" applyFont="1" applyBorder="1"/>
    <xf numFmtId="0" fontId="0" fillId="0" borderId="48" xfId="0" applyBorder="1"/>
    <xf numFmtId="165" fontId="0" fillId="0" borderId="51" xfId="0" applyNumberFormat="1" applyFont="1" applyBorder="1"/>
    <xf numFmtId="165" fontId="4" fillId="0" borderId="0" xfId="0" applyNumberFormat="1" applyFont="1" applyFill="1"/>
    <xf numFmtId="165" fontId="10" fillId="0" borderId="0" xfId="0" applyNumberFormat="1" applyFont="1" applyFill="1"/>
    <xf numFmtId="165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12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0" fillId="0" borderId="0" xfId="0" applyFill="1"/>
    <xf numFmtId="0" fontId="0" fillId="0" borderId="0" xfId="0" applyFill="1" applyBorder="1"/>
    <xf numFmtId="0" fontId="19" fillId="0" borderId="0" xfId="0" applyFont="1" applyFill="1"/>
    <xf numFmtId="0" fontId="20" fillId="0" borderId="0" xfId="0" applyFont="1" applyFill="1"/>
    <xf numFmtId="165" fontId="19" fillId="0" borderId="0" xfId="0" applyNumberFormat="1" applyFont="1" applyFill="1"/>
    <xf numFmtId="0" fontId="21" fillId="0" borderId="0" xfId="0" applyFont="1" applyFill="1"/>
    <xf numFmtId="3" fontId="19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3" fillId="0" borderId="52" xfId="0" applyNumberFormat="1" applyFont="1" applyFill="1" applyBorder="1" applyAlignment="1">
      <alignment horizontal="center"/>
    </xf>
    <xf numFmtId="0" fontId="3" fillId="0" borderId="0" xfId="0" applyFont="1" applyFill="1"/>
    <xf numFmtId="165" fontId="22" fillId="0" borderId="0" xfId="0" applyNumberFormat="1" applyFont="1" applyFill="1"/>
    <xf numFmtId="0" fontId="22" fillId="0" borderId="0" xfId="0" applyFont="1" applyFill="1"/>
    <xf numFmtId="0" fontId="23" fillId="0" borderId="0" xfId="0" applyFont="1" applyFill="1"/>
    <xf numFmtId="0" fontId="24" fillId="0" borderId="0" xfId="0" applyFont="1"/>
    <xf numFmtId="0" fontId="1" fillId="0" borderId="0" xfId="0" applyFont="1" applyFill="1"/>
    <xf numFmtId="0" fontId="1" fillId="0" borderId="0" xfId="0" applyNumberFormat="1" applyFont="1" applyFill="1" applyBorder="1" applyAlignment="1">
      <alignment horizontal="right" wrapText="1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/>
    <xf numFmtId="0" fontId="3" fillId="0" borderId="18" xfId="0" applyFont="1" applyFill="1" applyBorder="1"/>
    <xf numFmtId="2" fontId="3" fillId="0" borderId="18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right"/>
    </xf>
    <xf numFmtId="4" fontId="31" fillId="2" borderId="18" xfId="0" applyNumberFormat="1" applyFont="1" applyFill="1" applyBorder="1" applyAlignment="1">
      <alignment horizontal="left" vertical="center" wrapText="1"/>
    </xf>
    <xf numFmtId="0" fontId="0" fillId="0" borderId="18" xfId="0" applyBorder="1"/>
    <xf numFmtId="0" fontId="0" fillId="2" borderId="18" xfId="0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center"/>
    </xf>
    <xf numFmtId="14" fontId="0" fillId="0" borderId="0" xfId="0" applyNumberFormat="1"/>
    <xf numFmtId="0" fontId="26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8" fillId="0" borderId="18" xfId="0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14" fontId="26" fillId="0" borderId="18" xfId="0" applyNumberFormat="1" applyFont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2" fontId="1" fillId="0" borderId="0" xfId="0" applyNumberFormat="1" applyFont="1" applyFill="1"/>
    <xf numFmtId="0" fontId="28" fillId="0" borderId="0" xfId="0" applyFont="1" applyFill="1" applyAlignment="1">
      <alignment vertical="top"/>
    </xf>
    <xf numFmtId="3" fontId="28" fillId="0" borderId="0" xfId="0" applyNumberFormat="1" applyFont="1" applyFill="1" applyAlignment="1">
      <alignment horizontal="center" vertical="top"/>
    </xf>
    <xf numFmtId="0" fontId="29" fillId="0" borderId="18" xfId="0" applyFont="1" applyFill="1" applyBorder="1" applyAlignment="1">
      <alignment vertical="top"/>
    </xf>
    <xf numFmtId="2" fontId="29" fillId="2" borderId="18" xfId="0" applyNumberFormat="1" applyFont="1" applyFill="1" applyBorder="1" applyAlignment="1">
      <alignment horizontal="center" vertical="top"/>
    </xf>
    <xf numFmtId="2" fontId="29" fillId="0" borderId="18" xfId="0" applyNumberFormat="1" applyFont="1" applyFill="1" applyBorder="1" applyAlignment="1">
      <alignment horizontal="center" vertical="top"/>
    </xf>
    <xf numFmtId="0" fontId="29" fillId="0" borderId="18" xfId="0" applyFont="1" applyFill="1" applyBorder="1" applyAlignment="1">
      <alignment horizontal="center" vertical="top"/>
    </xf>
    <xf numFmtId="3" fontId="29" fillId="0" borderId="18" xfId="0" applyNumberFormat="1" applyFont="1" applyFill="1" applyBorder="1" applyAlignment="1">
      <alignment horizontal="center" vertical="top"/>
    </xf>
    <xf numFmtId="3" fontId="29" fillId="0" borderId="37" xfId="0" applyNumberFormat="1" applyFont="1" applyFill="1" applyBorder="1" applyAlignment="1">
      <alignment horizontal="center" vertical="top"/>
    </xf>
    <xf numFmtId="0" fontId="28" fillId="0" borderId="18" xfId="0" applyFont="1" applyFill="1" applyBorder="1" applyAlignment="1">
      <alignment vertical="top"/>
    </xf>
    <xf numFmtId="3" fontId="29" fillId="0" borderId="40" xfId="0" applyNumberFormat="1" applyFont="1" applyFill="1" applyBorder="1" applyAlignment="1">
      <alignment horizontal="center" vertical="top"/>
    </xf>
    <xf numFmtId="3" fontId="28" fillId="0" borderId="40" xfId="0" applyNumberFormat="1" applyFont="1" applyFill="1" applyBorder="1" applyAlignment="1">
      <alignment horizontal="center" vertical="top"/>
    </xf>
    <xf numFmtId="2" fontId="28" fillId="0" borderId="18" xfId="0" applyNumberFormat="1" applyFont="1" applyFill="1" applyBorder="1" applyAlignment="1">
      <alignment vertical="top"/>
    </xf>
    <xf numFmtId="3" fontId="28" fillId="0" borderId="44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0" fontId="28" fillId="0" borderId="10" xfId="0" applyFont="1" applyFill="1" applyBorder="1" applyAlignment="1">
      <alignment vertical="top" wrapText="1"/>
    </xf>
    <xf numFmtId="3" fontId="28" fillId="0" borderId="10" xfId="0" applyNumberFormat="1" applyFont="1" applyFill="1" applyBorder="1" applyAlignment="1">
      <alignment horizontal="center" vertical="top"/>
    </xf>
    <xf numFmtId="3" fontId="28" fillId="0" borderId="57" xfId="0" applyNumberFormat="1" applyFont="1" applyFill="1" applyBorder="1" applyAlignment="1">
      <alignment horizontal="center" vertical="top"/>
    </xf>
    <xf numFmtId="49" fontId="29" fillId="0" borderId="18" xfId="0" applyNumberFormat="1" applyFont="1" applyFill="1" applyBorder="1" applyAlignment="1">
      <alignment horizontal="center" vertical="top"/>
    </xf>
    <xf numFmtId="2" fontId="30" fillId="0" borderId="18" xfId="0" applyNumberFormat="1" applyFont="1" applyFill="1" applyBorder="1" applyAlignment="1">
      <alignment horizontal="center" vertical="top"/>
    </xf>
    <xf numFmtId="3" fontId="28" fillId="0" borderId="65" xfId="0" applyNumberFormat="1" applyFont="1" applyFill="1" applyBorder="1" applyAlignment="1">
      <alignment horizontal="center" vertical="top"/>
    </xf>
    <xf numFmtId="2" fontId="28" fillId="0" borderId="0" xfId="0" applyNumberFormat="1" applyFont="1" applyFill="1" applyAlignment="1">
      <alignment vertical="top"/>
    </xf>
    <xf numFmtId="49" fontId="29" fillId="0" borderId="14" xfId="0" applyNumberFormat="1" applyFont="1" applyFill="1" applyBorder="1" applyAlignment="1">
      <alignment horizontal="center" vertical="top"/>
    </xf>
    <xf numFmtId="2" fontId="30" fillId="0" borderId="14" xfId="0" applyNumberFormat="1" applyFont="1" applyFill="1" applyBorder="1" applyAlignment="1">
      <alignment horizontal="center" vertical="top"/>
    </xf>
    <xf numFmtId="3" fontId="28" fillId="0" borderId="18" xfId="0" applyNumberFormat="1" applyFont="1" applyFill="1" applyBorder="1" applyAlignment="1">
      <alignment horizontal="center" vertical="top"/>
    </xf>
    <xf numFmtId="3" fontId="28" fillId="0" borderId="61" xfId="0" applyNumberFormat="1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/>
    </xf>
    <xf numFmtId="3" fontId="28" fillId="0" borderId="37" xfId="0" applyNumberFormat="1" applyFont="1" applyFill="1" applyBorder="1" applyAlignment="1">
      <alignment horizontal="center" vertical="top"/>
    </xf>
    <xf numFmtId="2" fontId="30" fillId="0" borderId="9" xfId="0" applyNumberFormat="1" applyFont="1" applyFill="1" applyBorder="1" applyAlignment="1">
      <alignment horizontal="center" vertical="top" wrapText="1"/>
    </xf>
    <xf numFmtId="2" fontId="28" fillId="0" borderId="9" xfId="0" applyNumberFormat="1" applyFont="1" applyFill="1" applyBorder="1" applyAlignment="1">
      <alignment horizontal="center" vertical="top"/>
    </xf>
    <xf numFmtId="3" fontId="30" fillId="0" borderId="9" xfId="0" applyNumberFormat="1" applyFont="1" applyFill="1" applyBorder="1" applyAlignment="1">
      <alignment horizontal="center" vertical="top"/>
    </xf>
    <xf numFmtId="3" fontId="29" fillId="0" borderId="52" xfId="0" applyNumberFormat="1" applyFont="1" applyFill="1" applyBorder="1" applyAlignment="1">
      <alignment horizontal="center" vertical="top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18" xfId="0" applyFont="1" applyFill="1" applyBorder="1" applyAlignment="1">
      <alignment horizontal="left" vertical="top" wrapText="1"/>
    </xf>
    <xf numFmtId="2" fontId="29" fillId="0" borderId="0" xfId="0" applyNumberFormat="1" applyFont="1" applyFill="1" applyBorder="1" applyAlignment="1">
      <alignment horizontal="center" vertical="top"/>
    </xf>
    <xf numFmtId="2" fontId="28" fillId="0" borderId="0" xfId="0" applyNumberFormat="1" applyFont="1" applyFill="1" applyBorder="1" applyAlignment="1">
      <alignment vertical="top"/>
    </xf>
    <xf numFmtId="3" fontId="29" fillId="0" borderId="0" xfId="0" applyNumberFormat="1" applyFont="1" applyFill="1" applyBorder="1" applyAlignment="1">
      <alignment horizontal="center" vertical="top"/>
    </xf>
    <xf numFmtId="3" fontId="28" fillId="0" borderId="0" xfId="0" applyNumberFormat="1" applyFont="1" applyFill="1" applyBorder="1" applyAlignment="1">
      <alignment horizontal="center" vertical="top"/>
    </xf>
    <xf numFmtId="2" fontId="28" fillId="0" borderId="0" xfId="0" applyNumberFormat="1" applyFont="1" applyFill="1" applyAlignment="1">
      <alignment horizontal="center" vertical="top"/>
    </xf>
    <xf numFmtId="0" fontId="28" fillId="0" borderId="18" xfId="0" applyFont="1" applyFill="1" applyBorder="1" applyAlignment="1">
      <alignment vertical="top" wrapText="1"/>
    </xf>
    <xf numFmtId="0" fontId="28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29" fillId="4" borderId="18" xfId="0" applyFont="1" applyFill="1" applyBorder="1" applyAlignment="1">
      <alignment horizontal="center" vertical="top"/>
    </xf>
    <xf numFmtId="0" fontId="28" fillId="0" borderId="18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3" fontId="2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/>
    <xf numFmtId="0" fontId="9" fillId="0" borderId="0" xfId="0" applyFont="1" applyFill="1"/>
    <xf numFmtId="0" fontId="9" fillId="0" borderId="32" xfId="0" applyFont="1" applyBorder="1"/>
    <xf numFmtId="165" fontId="9" fillId="0" borderId="36" xfId="0" applyNumberFormat="1" applyFont="1" applyBorder="1"/>
    <xf numFmtId="0" fontId="9" fillId="0" borderId="38" xfId="0" applyFont="1" applyBorder="1"/>
    <xf numFmtId="165" fontId="9" fillId="0" borderId="39" xfId="0" applyNumberFormat="1" applyFont="1" applyBorder="1"/>
    <xf numFmtId="0" fontId="9" fillId="0" borderId="41" xfId="0" applyFont="1" applyBorder="1"/>
    <xf numFmtId="165" fontId="9" fillId="0" borderId="43" xfId="0" applyNumberFormat="1" applyFont="1" applyBorder="1"/>
    <xf numFmtId="0" fontId="9" fillId="0" borderId="45" xfId="0" applyFont="1" applyBorder="1"/>
    <xf numFmtId="0" fontId="9" fillId="0" borderId="46" xfId="0" applyFont="1" applyBorder="1"/>
    <xf numFmtId="165" fontId="7" fillId="0" borderId="21" xfId="0" applyNumberFormat="1" applyFont="1" applyBorder="1"/>
    <xf numFmtId="165" fontId="7" fillId="0" borderId="18" xfId="0" applyNumberFormat="1" applyFont="1" applyBorder="1"/>
    <xf numFmtId="3" fontId="3" fillId="0" borderId="37" xfId="0" applyNumberFormat="1" applyFont="1" applyFill="1" applyBorder="1" applyAlignment="1">
      <alignment horizontal="center"/>
    </xf>
    <xf numFmtId="0" fontId="2" fillId="0" borderId="18" xfId="0" applyFont="1" applyFill="1" applyBorder="1"/>
    <xf numFmtId="3" fontId="2" fillId="0" borderId="40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3" fontId="2" fillId="0" borderId="57" xfId="0" applyNumberFormat="1" applyFont="1" applyFill="1" applyBorder="1" applyAlignment="1">
      <alignment horizontal="center"/>
    </xf>
    <xf numFmtId="3" fontId="2" fillId="0" borderId="65" xfId="0" applyNumberFormat="1" applyFont="1" applyFill="1" applyBorder="1" applyAlignment="1">
      <alignment horizontal="center"/>
    </xf>
    <xf numFmtId="3" fontId="2" fillId="0" borderId="61" xfId="0" applyNumberFormat="1" applyFont="1" applyFill="1" applyBorder="1" applyAlignment="1">
      <alignment horizontal="center"/>
    </xf>
    <xf numFmtId="3" fontId="2" fillId="0" borderId="37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167" fontId="4" fillId="0" borderId="0" xfId="0" applyNumberFormat="1" applyFont="1" applyFill="1"/>
    <xf numFmtId="0" fontId="33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 wrapText="1"/>
    </xf>
    <xf numFmtId="2" fontId="35" fillId="0" borderId="10" xfId="0" applyNumberFormat="1" applyFont="1" applyFill="1" applyBorder="1" applyAlignment="1">
      <alignment horizontal="center" vertical="center"/>
    </xf>
    <xf numFmtId="2" fontId="36" fillId="0" borderId="18" xfId="0" applyNumberFormat="1" applyFont="1" applyFill="1" applyBorder="1" applyAlignment="1">
      <alignment horizontal="center" vertical="center"/>
    </xf>
    <xf numFmtId="49" fontId="33" fillId="0" borderId="18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left" vertical="center" wrapText="1"/>
    </xf>
    <xf numFmtId="2" fontId="35" fillId="0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center" vertical="center"/>
    </xf>
    <xf numFmtId="2" fontId="35" fillId="0" borderId="18" xfId="0" applyNumberFormat="1" applyFont="1" applyFill="1" applyBorder="1" applyAlignment="1">
      <alignment horizontal="center" vertical="center" wrapText="1"/>
    </xf>
    <xf numFmtId="167" fontId="37" fillId="0" borderId="14" xfId="0" applyNumberFormat="1" applyFont="1" applyBorder="1" applyAlignment="1">
      <alignment horizontal="center"/>
    </xf>
    <xf numFmtId="167" fontId="35" fillId="0" borderId="14" xfId="0" applyNumberFormat="1" applyFont="1" applyFill="1" applyBorder="1" applyAlignment="1">
      <alignment horizontal="center" vertical="center" wrapText="1"/>
    </xf>
    <xf numFmtId="167" fontId="36" fillId="0" borderId="14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wrapText="1"/>
    </xf>
    <xf numFmtId="0" fontId="34" fillId="0" borderId="18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wrapText="1"/>
    </xf>
    <xf numFmtId="0" fontId="33" fillId="0" borderId="18" xfId="0" applyFont="1" applyFill="1" applyBorder="1"/>
    <xf numFmtId="0" fontId="34" fillId="0" borderId="18" xfId="0" applyFont="1" applyFill="1" applyBorder="1"/>
    <xf numFmtId="2" fontId="35" fillId="0" borderId="9" xfId="0" applyNumberFormat="1" applyFont="1" applyFill="1" applyBorder="1" applyAlignment="1">
      <alignment horizontal="center" vertical="center" wrapText="1"/>
    </xf>
    <xf numFmtId="2" fontId="36" fillId="0" borderId="9" xfId="0" applyNumberFormat="1" applyFont="1" applyFill="1" applyBorder="1" applyAlignment="1">
      <alignment horizontal="center"/>
    </xf>
    <xf numFmtId="2" fontId="35" fillId="0" borderId="9" xfId="0" applyNumberFormat="1" applyFont="1" applyFill="1" applyBorder="1" applyAlignment="1">
      <alignment horizontal="center" wrapText="1"/>
    </xf>
    <xf numFmtId="2" fontId="36" fillId="0" borderId="18" xfId="0" applyNumberFormat="1" applyFont="1" applyFill="1" applyBorder="1" applyAlignment="1">
      <alignment horizontal="center"/>
    </xf>
    <xf numFmtId="2" fontId="35" fillId="0" borderId="18" xfId="0" applyNumberFormat="1" applyFont="1" applyFill="1" applyBorder="1" applyAlignment="1">
      <alignment horizontal="center" wrapText="1" readingOrder="1"/>
    </xf>
    <xf numFmtId="0" fontId="34" fillId="0" borderId="18" xfId="0" applyFont="1" applyFill="1" applyBorder="1" applyAlignment="1">
      <alignment horizontal="left" vertical="center"/>
    </xf>
    <xf numFmtId="2" fontId="35" fillId="0" borderId="18" xfId="0" applyNumberFormat="1" applyFont="1" applyFill="1" applyBorder="1" applyAlignment="1">
      <alignment horizontal="center" vertical="center" wrapText="1" readingOrder="1"/>
    </xf>
    <xf numFmtId="2" fontId="33" fillId="0" borderId="18" xfId="0" applyNumberFormat="1" applyFont="1" applyFill="1" applyBorder="1" applyAlignment="1">
      <alignment horizontal="center" vertical="center"/>
    </xf>
    <xf numFmtId="168" fontId="28" fillId="0" borderId="10" xfId="0" applyNumberFormat="1" applyFont="1" applyFill="1" applyBorder="1" applyAlignment="1">
      <alignment horizontal="center" vertical="top"/>
    </xf>
    <xf numFmtId="0" fontId="37" fillId="0" borderId="18" xfId="0" applyFont="1" applyFill="1" applyBorder="1" applyAlignment="1">
      <alignment wrapText="1"/>
    </xf>
    <xf numFmtId="0" fontId="39" fillId="0" borderId="10" xfId="0" applyFont="1" applyFill="1" applyBorder="1" applyAlignment="1">
      <alignment vertical="top" wrapText="1"/>
    </xf>
    <xf numFmtId="0" fontId="39" fillId="0" borderId="18" xfId="0" applyFont="1" applyFill="1" applyBorder="1" applyAlignment="1">
      <alignment horizontal="left" vertical="top" wrapText="1"/>
    </xf>
    <xf numFmtId="0" fontId="39" fillId="0" borderId="18" xfId="0" applyFont="1" applyBorder="1" applyAlignment="1">
      <alignment horizontal="left" vertical="top" wrapText="1"/>
    </xf>
    <xf numFmtId="0" fontId="39" fillId="0" borderId="14" xfId="0" applyFont="1" applyFill="1" applyBorder="1" applyAlignment="1">
      <alignment horizontal="left" vertical="top" wrapText="1"/>
    </xf>
    <xf numFmtId="0" fontId="39" fillId="4" borderId="18" xfId="0" applyFont="1" applyFill="1" applyBorder="1" applyAlignment="1">
      <alignment vertical="top" wrapText="1"/>
    </xf>
    <xf numFmtId="0" fontId="39" fillId="0" borderId="18" xfId="0" applyFont="1" applyFill="1" applyBorder="1" applyAlignment="1">
      <alignment vertical="top" wrapText="1"/>
    </xf>
    <xf numFmtId="0" fontId="39" fillId="0" borderId="18" xfId="0" applyFont="1" applyFill="1" applyBorder="1" applyAlignment="1">
      <alignment vertical="top"/>
    </xf>
    <xf numFmtId="0" fontId="40" fillId="0" borderId="18" xfId="0" applyFont="1" applyFill="1" applyBorder="1" applyAlignment="1">
      <alignment vertical="top"/>
    </xf>
    <xf numFmtId="0" fontId="39" fillId="0" borderId="18" xfId="0" applyFont="1" applyFill="1" applyBorder="1" applyAlignment="1">
      <alignment horizontal="left" vertical="top"/>
    </xf>
    <xf numFmtId="2" fontId="29" fillId="0" borderId="18" xfId="0" applyNumberFormat="1" applyFont="1" applyFill="1" applyBorder="1" applyAlignment="1">
      <alignment horizontal="center" vertical="top" wrapText="1"/>
    </xf>
    <xf numFmtId="0" fontId="38" fillId="0" borderId="18" xfId="0" applyFont="1" applyFill="1" applyBorder="1"/>
    <xf numFmtId="2" fontId="28" fillId="0" borderId="10" xfId="0" applyNumberFormat="1" applyFont="1" applyFill="1" applyBorder="1" applyAlignment="1">
      <alignment horizontal="center" vertical="top"/>
    </xf>
    <xf numFmtId="0" fontId="28" fillId="0" borderId="14" xfId="0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2" fontId="28" fillId="0" borderId="18" xfId="0" applyNumberFormat="1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/>
    </xf>
    <xf numFmtId="0" fontId="37" fillId="0" borderId="14" xfId="0" applyFont="1" applyBorder="1"/>
    <xf numFmtId="2" fontId="35" fillId="0" borderId="10" xfId="0" applyNumberFormat="1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left" vertical="center" wrapText="1"/>
    </xf>
    <xf numFmtId="0" fontId="31" fillId="2" borderId="46" xfId="0" applyFont="1" applyFill="1" applyBorder="1" applyAlignment="1">
      <alignment horizontal="left" vertical="center" wrapText="1"/>
    </xf>
    <xf numFmtId="2" fontId="32" fillId="0" borderId="0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 wrapText="1"/>
    </xf>
    <xf numFmtId="2" fontId="30" fillId="0" borderId="14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/>
    </xf>
    <xf numFmtId="2" fontId="28" fillId="0" borderId="14" xfId="0" applyNumberFormat="1" applyFont="1" applyFill="1" applyBorder="1" applyAlignment="1">
      <alignment horizontal="center" vertical="top"/>
    </xf>
    <xf numFmtId="2" fontId="30" fillId="0" borderId="18" xfId="0" applyNumberFormat="1" applyFont="1" applyFill="1" applyBorder="1" applyAlignment="1">
      <alignment horizontal="center" vertical="top" wrapText="1"/>
    </xf>
    <xf numFmtId="2" fontId="29" fillId="3" borderId="9" xfId="0" applyNumberFormat="1" applyFont="1" applyFill="1" applyBorder="1" applyAlignment="1">
      <alignment horizontal="left" vertical="top" wrapText="1"/>
    </xf>
    <xf numFmtId="2" fontId="29" fillId="3" borderId="0" xfId="0" applyNumberFormat="1" applyFont="1" applyFill="1" applyBorder="1" applyAlignment="1">
      <alignment horizontal="left" vertical="top" wrapText="1"/>
    </xf>
    <xf numFmtId="0" fontId="29" fillId="4" borderId="10" xfId="0" applyFont="1" applyFill="1" applyBorder="1" applyAlignment="1">
      <alignment horizontal="center" vertical="top"/>
    </xf>
    <xf numFmtId="0" fontId="29" fillId="4" borderId="14" xfId="0" applyFont="1" applyFill="1" applyBorder="1" applyAlignment="1">
      <alignment horizontal="center" vertical="top"/>
    </xf>
    <xf numFmtId="0" fontId="39" fillId="4" borderId="10" xfId="0" applyFont="1" applyFill="1" applyBorder="1" applyAlignment="1">
      <alignment horizontal="left" vertical="top" wrapText="1"/>
    </xf>
    <xf numFmtId="0" fontId="39" fillId="4" borderId="14" xfId="0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/>
    </xf>
    <xf numFmtId="0" fontId="29" fillId="0" borderId="46" xfId="0" applyFont="1" applyFill="1" applyBorder="1" applyAlignment="1">
      <alignment horizontal="center" vertical="top"/>
    </xf>
    <xf numFmtId="0" fontId="29" fillId="0" borderId="28" xfId="0" applyFont="1" applyFill="1" applyBorder="1" applyAlignment="1">
      <alignment horizontal="center" vertical="top"/>
    </xf>
    <xf numFmtId="2" fontId="28" fillId="0" borderId="18" xfId="0" applyNumberFormat="1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/>
    </xf>
    <xf numFmtId="3" fontId="30" fillId="0" borderId="14" xfId="0" applyNumberFormat="1" applyFont="1" applyFill="1" applyBorder="1" applyAlignment="1">
      <alignment horizontal="center" vertical="top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/>
    </xf>
    <xf numFmtId="0" fontId="34" fillId="0" borderId="10" xfId="0" applyFont="1" applyFill="1" applyBorder="1" applyAlignment="1">
      <alignment horizontal="left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31" fillId="2" borderId="18" xfId="0" applyFont="1" applyFill="1" applyBorder="1" applyAlignment="1">
      <alignment horizontal="left" vertical="center" wrapText="1"/>
    </xf>
    <xf numFmtId="0" fontId="31" fillId="2" borderId="46" xfId="0" applyFont="1" applyFill="1" applyBorder="1" applyAlignment="1">
      <alignment horizontal="left" vertical="center" wrapText="1"/>
    </xf>
    <xf numFmtId="0" fontId="31" fillId="2" borderId="10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14" xfId="0" applyFont="1" applyFill="1" applyBorder="1" applyAlignment="1">
      <alignment horizontal="left" vertical="center" wrapText="1"/>
    </xf>
    <xf numFmtId="0" fontId="26" fillId="0" borderId="18" xfId="0" applyFont="1" applyFill="1" applyBorder="1"/>
    <xf numFmtId="0" fontId="28" fillId="0" borderId="18" xfId="0" applyFont="1" applyBorder="1" applyAlignment="1">
      <alignment horizontal="left" vertical="center" wrapText="1"/>
    </xf>
    <xf numFmtId="0" fontId="37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E14" sqref="E14"/>
    </sheetView>
  </sheetViews>
  <sheetFormatPr defaultRowHeight="12.75"/>
  <cols>
    <col min="1" max="1" width="18.7109375" customWidth="1"/>
    <col min="2" max="2" width="42" customWidth="1"/>
    <col min="4" max="4" width="19.42578125" customWidth="1"/>
    <col min="5" max="5" width="22.42578125" customWidth="1"/>
    <col min="6" max="6" width="20.140625" customWidth="1"/>
    <col min="8" max="8" width="12.28515625" customWidth="1"/>
  </cols>
  <sheetData>
    <row r="1" spans="1:8">
      <c r="A1" s="1" t="s">
        <v>0</v>
      </c>
      <c r="B1" s="1" t="s">
        <v>1</v>
      </c>
      <c r="C1" s="1"/>
      <c r="D1" s="1"/>
      <c r="E1" s="2"/>
      <c r="F1" s="1"/>
      <c r="G1" s="1"/>
      <c r="H1" s="1"/>
    </row>
    <row r="2" spans="1:8">
      <c r="A2" s="1" t="s">
        <v>2</v>
      </c>
      <c r="B2" s="1"/>
      <c r="C2" s="1"/>
      <c r="D2" s="1"/>
      <c r="E2" s="2"/>
      <c r="F2" s="1"/>
      <c r="G2" s="1"/>
      <c r="H2" s="1"/>
    </row>
    <row r="3" spans="1:8">
      <c r="A3" s="1" t="s">
        <v>3</v>
      </c>
      <c r="B3" s="1" t="s">
        <v>4</v>
      </c>
      <c r="C3" s="1"/>
      <c r="D3" s="1"/>
      <c r="E3" s="2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 t="s">
        <v>5</v>
      </c>
      <c r="C5" s="1"/>
      <c r="D5" s="1"/>
      <c r="E5" s="2"/>
      <c r="F5" s="1"/>
      <c r="G5" s="1"/>
      <c r="H5" s="1"/>
    </row>
    <row r="6" spans="1:8">
      <c r="A6" s="1"/>
      <c r="B6" s="1" t="s">
        <v>6</v>
      </c>
      <c r="C6" s="1"/>
      <c r="D6" s="1"/>
      <c r="E6" s="2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 t="s">
        <v>7</v>
      </c>
      <c r="C8" s="3"/>
      <c r="D8" s="1" t="s">
        <v>8</v>
      </c>
      <c r="E8" s="2" t="s">
        <v>9</v>
      </c>
      <c r="F8" s="3"/>
      <c r="G8" s="3"/>
      <c r="H8" s="1"/>
    </row>
    <row r="9" spans="1:8">
      <c r="A9" s="1"/>
      <c r="B9" s="1" t="s">
        <v>10</v>
      </c>
      <c r="C9" s="3"/>
      <c r="D9" s="1" t="s">
        <v>11</v>
      </c>
      <c r="E9" s="2"/>
      <c r="F9" s="3"/>
      <c r="G9" s="3"/>
      <c r="H9" s="1"/>
    </row>
    <row r="10" spans="1:8">
      <c r="A10" s="1"/>
      <c r="B10" s="1" t="s">
        <v>12</v>
      </c>
      <c r="C10" s="3"/>
      <c r="D10" s="1">
        <v>32</v>
      </c>
      <c r="E10" s="2" t="s">
        <v>13</v>
      </c>
      <c r="F10" s="3">
        <v>95</v>
      </c>
      <c r="G10" s="3"/>
      <c r="H10" s="1"/>
    </row>
    <row r="11" spans="1:8">
      <c r="A11" s="1"/>
      <c r="B11" s="1" t="s">
        <v>14</v>
      </c>
      <c r="C11" s="1"/>
      <c r="D11" s="1"/>
      <c r="E11" s="2"/>
      <c r="F11" s="1"/>
      <c r="G11" s="1"/>
      <c r="H11" s="1"/>
    </row>
    <row r="12" spans="1:8">
      <c r="A12" s="4" t="s">
        <v>15</v>
      </c>
      <c r="B12" s="5" t="s">
        <v>16</v>
      </c>
      <c r="C12" s="6" t="s">
        <v>17</v>
      </c>
      <c r="D12" s="7" t="s">
        <v>18</v>
      </c>
      <c r="E12" s="8" t="s">
        <v>19</v>
      </c>
      <c r="F12" s="9"/>
      <c r="G12" s="9"/>
      <c r="H12" s="10"/>
    </row>
    <row r="13" spans="1:8">
      <c r="A13" s="11" t="s">
        <v>20</v>
      </c>
      <c r="B13" s="12"/>
      <c r="C13" s="13" t="s">
        <v>21</v>
      </c>
      <c r="D13" s="14" t="s">
        <v>22</v>
      </c>
      <c r="E13" s="15" t="s">
        <v>23</v>
      </c>
      <c r="F13" s="14" t="s">
        <v>24</v>
      </c>
      <c r="G13" s="14"/>
      <c r="H13" s="16" t="s">
        <v>25</v>
      </c>
    </row>
    <row r="14" spans="1:8">
      <c r="A14" s="11"/>
      <c r="B14" s="12"/>
      <c r="C14" s="13"/>
      <c r="D14" s="14"/>
      <c r="E14" s="15" t="s">
        <v>26</v>
      </c>
      <c r="F14" s="14" t="s">
        <v>27</v>
      </c>
      <c r="G14" s="14"/>
      <c r="H14" s="16" t="s">
        <v>28</v>
      </c>
    </row>
    <row r="15" spans="1:8">
      <c r="A15" s="17">
        <v>1</v>
      </c>
      <c r="B15" s="18" t="s">
        <v>29</v>
      </c>
      <c r="C15" s="19"/>
      <c r="D15" s="20"/>
      <c r="E15" s="21"/>
      <c r="F15" s="20"/>
      <c r="G15" s="20"/>
      <c r="H15" s="22"/>
    </row>
    <row r="16" spans="1:8">
      <c r="A16" s="23"/>
      <c r="B16" s="24" t="s">
        <v>30</v>
      </c>
      <c r="C16" s="25">
        <v>3.39</v>
      </c>
      <c r="D16" s="26" t="s">
        <v>31</v>
      </c>
      <c r="E16" s="27">
        <v>9831</v>
      </c>
      <c r="F16" s="26"/>
      <c r="G16" s="26"/>
      <c r="H16" s="28"/>
    </row>
    <row r="17" spans="1:8">
      <c r="A17" s="11">
        <v>2</v>
      </c>
      <c r="B17" s="12" t="s">
        <v>32</v>
      </c>
      <c r="C17" s="29"/>
      <c r="D17" s="14"/>
      <c r="E17" s="30"/>
      <c r="F17" s="14"/>
      <c r="G17" s="14"/>
      <c r="H17" s="16"/>
    </row>
    <row r="18" spans="1:8">
      <c r="A18" s="23"/>
      <c r="B18" s="24" t="s">
        <v>33</v>
      </c>
      <c r="C18" s="25">
        <v>4.57</v>
      </c>
      <c r="D18" s="26" t="s">
        <v>31</v>
      </c>
      <c r="E18" s="27">
        <v>13253</v>
      </c>
      <c r="F18" s="26"/>
      <c r="G18" s="26"/>
      <c r="H18" s="28"/>
    </row>
    <row r="19" spans="1:8">
      <c r="A19" s="23">
        <v>3</v>
      </c>
      <c r="B19" s="24" t="s">
        <v>34</v>
      </c>
      <c r="C19" s="25">
        <v>1.29</v>
      </c>
      <c r="D19" s="26" t="s">
        <v>31</v>
      </c>
      <c r="E19" s="30">
        <v>3741</v>
      </c>
      <c r="F19" s="26"/>
      <c r="G19" s="26"/>
      <c r="H19" s="28"/>
    </row>
    <row r="20" spans="1:8">
      <c r="A20" s="31">
        <v>4</v>
      </c>
      <c r="B20" s="32" t="s">
        <v>35</v>
      </c>
      <c r="C20" s="33">
        <v>0.89</v>
      </c>
      <c r="D20" s="34" t="s">
        <v>31</v>
      </c>
      <c r="E20" s="35"/>
      <c r="F20" s="34"/>
      <c r="G20" s="26"/>
      <c r="H20" s="28"/>
    </row>
    <row r="21" spans="1:8">
      <c r="A21" s="31">
        <v>5</v>
      </c>
      <c r="B21" s="32" t="s">
        <v>36</v>
      </c>
      <c r="C21" s="33" t="s">
        <v>37</v>
      </c>
      <c r="D21" s="34" t="s">
        <v>31</v>
      </c>
      <c r="E21" s="35">
        <v>3683</v>
      </c>
      <c r="F21" s="34"/>
      <c r="G21" s="26"/>
      <c r="H21" s="28"/>
    </row>
    <row r="22" spans="1:8">
      <c r="A22" s="31">
        <v>6</v>
      </c>
      <c r="B22" s="32" t="s">
        <v>38</v>
      </c>
      <c r="C22" s="33">
        <v>2.9</v>
      </c>
      <c r="D22" s="34" t="s">
        <v>31</v>
      </c>
      <c r="E22" s="35">
        <v>4925</v>
      </c>
      <c r="F22" s="34"/>
      <c r="G22" s="26"/>
      <c r="H22" s="28"/>
    </row>
    <row r="23" spans="1:8">
      <c r="A23" s="31">
        <v>7</v>
      </c>
      <c r="B23" s="32" t="s">
        <v>39</v>
      </c>
      <c r="C23" s="33"/>
      <c r="D23" s="34" t="s">
        <v>40</v>
      </c>
      <c r="E23" s="35"/>
      <c r="F23" s="34"/>
      <c r="G23" s="26"/>
      <c r="H23" s="28"/>
    </row>
    <row r="24" spans="1:8">
      <c r="A24" s="31">
        <v>9</v>
      </c>
      <c r="B24" s="32" t="s">
        <v>41</v>
      </c>
      <c r="C24" s="33">
        <v>0.46</v>
      </c>
      <c r="D24" s="34" t="s">
        <v>42</v>
      </c>
      <c r="E24" s="35">
        <v>29256</v>
      </c>
      <c r="F24" s="36"/>
      <c r="G24" s="37"/>
      <c r="H24" s="28"/>
    </row>
    <row r="25" spans="1:8">
      <c r="A25" s="31">
        <v>11</v>
      </c>
      <c r="B25" s="32" t="s">
        <v>43</v>
      </c>
      <c r="C25" s="33">
        <v>199.86</v>
      </c>
      <c r="D25" s="34" t="s">
        <v>44</v>
      </c>
      <c r="E25" s="35">
        <v>15533</v>
      </c>
      <c r="F25" s="36"/>
      <c r="G25" s="37"/>
      <c r="H25" s="28"/>
    </row>
    <row r="26" spans="1:8">
      <c r="A26" s="31"/>
      <c r="B26" s="32" t="s">
        <v>45</v>
      </c>
      <c r="C26" s="33">
        <v>11.14</v>
      </c>
      <c r="D26" s="34" t="s">
        <v>46</v>
      </c>
      <c r="E26" s="35"/>
      <c r="F26" s="34"/>
      <c r="G26" s="26"/>
      <c r="H26" s="28"/>
    </row>
    <row r="27" spans="1:8">
      <c r="A27" s="31">
        <v>12</v>
      </c>
      <c r="B27" s="32" t="s">
        <v>47</v>
      </c>
      <c r="C27" s="33">
        <v>217.69</v>
      </c>
      <c r="D27" s="34" t="s">
        <v>44</v>
      </c>
      <c r="E27" s="35">
        <v>16673</v>
      </c>
      <c r="F27" s="34"/>
      <c r="G27" s="26"/>
      <c r="H27" s="28"/>
    </row>
    <row r="28" spans="1:8">
      <c r="A28" s="31"/>
      <c r="B28" s="32" t="s">
        <v>45</v>
      </c>
      <c r="C28" s="33">
        <v>47.74</v>
      </c>
      <c r="D28" s="34" t="s">
        <v>46</v>
      </c>
      <c r="E28" s="35"/>
      <c r="F28" s="34"/>
      <c r="G28" s="26"/>
      <c r="H28" s="28"/>
    </row>
    <row r="29" spans="1:8">
      <c r="A29" s="31">
        <v>13</v>
      </c>
      <c r="B29" s="32" t="s">
        <v>48</v>
      </c>
      <c r="C29" s="33">
        <v>13.29</v>
      </c>
      <c r="D29" s="34" t="s">
        <v>31</v>
      </c>
      <c r="E29" s="35">
        <v>861635.34</v>
      </c>
      <c r="F29" s="34"/>
      <c r="G29" s="26"/>
      <c r="H29" s="28"/>
    </row>
    <row r="30" spans="1:8">
      <c r="A30" s="31">
        <v>14</v>
      </c>
      <c r="B30" s="32" t="s">
        <v>49</v>
      </c>
      <c r="C30" s="33">
        <v>28.08</v>
      </c>
      <c r="D30" s="34" t="s">
        <v>44</v>
      </c>
      <c r="E30" s="35">
        <v>0</v>
      </c>
      <c r="F30" s="34"/>
      <c r="G30" s="26"/>
      <c r="H30" s="28"/>
    </row>
    <row r="31" spans="1:8">
      <c r="A31" s="31">
        <v>15</v>
      </c>
      <c r="B31" s="32" t="s">
        <v>50</v>
      </c>
      <c r="C31" s="33">
        <v>28</v>
      </c>
      <c r="D31" s="34" t="s">
        <v>42</v>
      </c>
      <c r="E31" s="35">
        <v>25056</v>
      </c>
      <c r="F31" s="34"/>
      <c r="G31" s="26"/>
      <c r="H31" s="28"/>
    </row>
    <row r="32" spans="1:8">
      <c r="A32" s="31">
        <v>16</v>
      </c>
      <c r="B32" s="32" t="s">
        <v>51</v>
      </c>
      <c r="C32" s="33">
        <v>111</v>
      </c>
      <c r="D32" s="34" t="s">
        <v>42</v>
      </c>
      <c r="E32" s="35">
        <v>56700</v>
      </c>
      <c r="F32" s="34"/>
      <c r="G32" s="26"/>
      <c r="H32" s="28"/>
    </row>
    <row r="33" spans="1:8">
      <c r="A33" s="31">
        <v>17</v>
      </c>
      <c r="B33" s="32" t="s">
        <v>52</v>
      </c>
      <c r="C33" s="48" t="s">
        <v>37</v>
      </c>
      <c r="D33" s="34" t="s">
        <v>42</v>
      </c>
      <c r="E33" s="35">
        <v>71997.070000000007</v>
      </c>
      <c r="F33" s="34"/>
      <c r="G33" s="26"/>
      <c r="H33" s="28"/>
    </row>
    <row r="34" spans="1:8">
      <c r="A34" s="31">
        <v>18</v>
      </c>
      <c r="B34" s="32" t="s">
        <v>53</v>
      </c>
      <c r="C34" s="38" t="s">
        <v>37</v>
      </c>
      <c r="D34" s="34" t="s">
        <v>31</v>
      </c>
      <c r="E34" s="35">
        <v>0</v>
      </c>
      <c r="F34" s="34"/>
      <c r="G34" s="26"/>
      <c r="H34" s="28"/>
    </row>
    <row r="35" spans="1:8">
      <c r="A35" s="31">
        <v>19</v>
      </c>
      <c r="B35" s="32" t="s">
        <v>54</v>
      </c>
      <c r="C35" s="38">
        <v>0.2</v>
      </c>
      <c r="D35" s="34" t="s">
        <v>31</v>
      </c>
      <c r="E35" s="35">
        <v>6690.65</v>
      </c>
      <c r="F35" s="34"/>
      <c r="G35" s="26"/>
      <c r="H35" s="28"/>
    </row>
    <row r="36" spans="1:8">
      <c r="A36" s="31">
        <v>20</v>
      </c>
      <c r="B36" s="32" t="s">
        <v>55</v>
      </c>
      <c r="C36" s="38" t="s">
        <v>37</v>
      </c>
      <c r="D36" s="34" t="s">
        <v>31</v>
      </c>
      <c r="E36" s="35">
        <v>0</v>
      </c>
      <c r="F36" s="34"/>
      <c r="G36" s="26"/>
      <c r="H36" s="28"/>
    </row>
    <row r="37" spans="1:8">
      <c r="A37" s="31">
        <v>21</v>
      </c>
      <c r="B37" s="32" t="s">
        <v>56</v>
      </c>
      <c r="C37" s="38" t="s">
        <v>37</v>
      </c>
      <c r="D37" s="34" t="s">
        <v>42</v>
      </c>
      <c r="E37" s="35">
        <v>10394.36</v>
      </c>
      <c r="F37" s="34"/>
      <c r="G37" s="26"/>
      <c r="H37" s="28"/>
    </row>
    <row r="38" spans="1:8">
      <c r="A38" s="39"/>
      <c r="B38" s="40"/>
      <c r="C38" s="41"/>
      <c r="D38" s="42"/>
      <c r="E38" s="43">
        <v>1129368.42</v>
      </c>
      <c r="F38" s="42"/>
      <c r="G38" s="44"/>
      <c r="H38" s="45"/>
    </row>
    <row r="39" spans="1:8">
      <c r="A39" s="46">
        <v>22</v>
      </c>
      <c r="B39" s="1"/>
      <c r="C39" s="1"/>
      <c r="D39" s="12"/>
      <c r="E39" s="47"/>
      <c r="F39" s="12"/>
      <c r="G39" s="12"/>
      <c r="H39" s="1"/>
    </row>
    <row r="40" spans="1:8">
      <c r="A40" s="1"/>
      <c r="B40" s="1"/>
      <c r="C40" s="1"/>
      <c r="D40" s="12"/>
      <c r="E40" s="47"/>
      <c r="F40" s="12"/>
      <c r="G40" s="12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 t="s">
        <v>57</v>
      </c>
      <c r="B43" s="1"/>
      <c r="C43" s="1"/>
      <c r="D43" s="1"/>
      <c r="E43" s="2"/>
      <c r="F43" s="1"/>
      <c r="G43" s="1"/>
      <c r="H43" s="1"/>
    </row>
  </sheetData>
  <pageMargins left="1" right="1" top="1" bottom="1" header="1" foot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4"/>
  <sheetViews>
    <sheetView workbookViewId="0">
      <selection activeCell="B8" sqref="B8"/>
    </sheetView>
  </sheetViews>
  <sheetFormatPr defaultRowHeight="12.75"/>
  <cols>
    <col min="2" max="2" width="32.7109375" customWidth="1"/>
    <col min="3" max="3" width="11.28515625" customWidth="1"/>
  </cols>
  <sheetData>
    <row r="2" spans="1:21" s="186" customFormat="1" ht="18" customHeight="1">
      <c r="A2" s="197" t="s">
        <v>58</v>
      </c>
      <c r="B2" s="183"/>
      <c r="C2" s="185"/>
      <c r="D2" s="185"/>
      <c r="E2" s="196"/>
      <c r="F2" s="187"/>
      <c r="G2" s="275"/>
      <c r="H2" s="187"/>
      <c r="I2" s="196" t="s">
        <v>59</v>
      </c>
      <c r="J2" s="187"/>
      <c r="K2" s="185"/>
      <c r="L2" s="185"/>
      <c r="M2" s="183"/>
      <c r="N2" s="185"/>
      <c r="O2" s="185"/>
      <c r="P2" s="183"/>
      <c r="Q2" s="183"/>
      <c r="R2" s="183"/>
      <c r="S2" s="185"/>
      <c r="T2" s="187"/>
      <c r="U2" s="187"/>
    </row>
    <row r="3" spans="1:21" s="186" customFormat="1" ht="30" customHeight="1">
      <c r="A3" s="183"/>
      <c r="B3" s="184"/>
      <c r="C3" s="185"/>
      <c r="D3" s="185"/>
      <c r="E3" s="183"/>
      <c r="F3" s="187"/>
      <c r="G3" s="276"/>
      <c r="H3" s="187"/>
      <c r="I3" s="276"/>
      <c r="J3" s="187"/>
      <c r="K3" s="185"/>
      <c r="L3" s="185"/>
      <c r="M3" s="183"/>
      <c r="N3" s="185"/>
      <c r="O3" s="185"/>
      <c r="P3" s="183"/>
      <c r="Q3" s="183"/>
      <c r="R3" s="183"/>
      <c r="S3" s="185"/>
      <c r="T3" s="187"/>
      <c r="U3" s="187"/>
    </row>
    <row r="4" spans="1:21" s="177" customFormat="1" ht="18.75" customHeight="1">
      <c r="A4" s="176"/>
      <c r="B4" s="178"/>
      <c r="C4" s="173"/>
      <c r="D4" s="173"/>
      <c r="E4" s="176"/>
      <c r="F4" s="188"/>
      <c r="G4" s="276"/>
      <c r="H4" s="188"/>
      <c r="I4" s="276"/>
      <c r="J4" s="188"/>
      <c r="K4" s="173"/>
      <c r="L4" s="173"/>
      <c r="M4" s="176"/>
      <c r="N4" s="173"/>
      <c r="O4" s="173"/>
      <c r="P4" s="176"/>
      <c r="Q4" s="176"/>
      <c r="R4" s="176"/>
      <c r="S4" s="173"/>
      <c r="T4" s="188"/>
      <c r="U4" s="188"/>
    </row>
    <row r="5" spans="1:21" s="177" customFormat="1">
      <c r="A5" s="176"/>
      <c r="B5" s="195" t="s">
        <v>60</v>
      </c>
      <c r="C5" s="277"/>
      <c r="D5" s="303">
        <v>7076.1</v>
      </c>
      <c r="E5" s="175"/>
      <c r="F5" s="188"/>
      <c r="G5" s="276"/>
      <c r="H5" s="188"/>
      <c r="I5" s="276"/>
      <c r="J5" s="188"/>
      <c r="K5" s="173"/>
      <c r="L5" s="173"/>
      <c r="M5" s="176"/>
      <c r="N5" s="173"/>
      <c r="O5" s="173"/>
      <c r="P5" s="176"/>
      <c r="Q5" s="176"/>
      <c r="R5" s="176"/>
      <c r="S5" s="173"/>
      <c r="T5" s="188"/>
      <c r="U5" s="188"/>
    </row>
    <row r="6" spans="1:21" s="180" customFormat="1" ht="18" customHeight="1">
      <c r="A6" s="179"/>
      <c r="B6" s="195" t="s">
        <v>12</v>
      </c>
      <c r="C6" s="212"/>
      <c r="D6" s="302">
        <v>51</v>
      </c>
      <c r="E6" s="179"/>
      <c r="F6" s="189"/>
      <c r="G6" s="276"/>
      <c r="H6" s="189"/>
      <c r="I6" s="276"/>
      <c r="J6" s="189"/>
      <c r="K6" s="174"/>
      <c r="L6" s="174"/>
      <c r="M6" s="179"/>
      <c r="N6" s="174"/>
      <c r="O6" s="174"/>
      <c r="P6" s="179"/>
      <c r="Q6" s="179"/>
      <c r="R6" s="179"/>
      <c r="S6" s="174"/>
      <c r="T6" s="189"/>
      <c r="U6" s="189"/>
    </row>
    <row r="7" spans="1:21">
      <c r="B7" t="s">
        <v>61</v>
      </c>
      <c r="D7">
        <v>5439.23</v>
      </c>
    </row>
    <row r="8" spans="1:21">
      <c r="B8" t="s">
        <v>62</v>
      </c>
      <c r="D8">
        <v>1636.87</v>
      </c>
    </row>
    <row r="15" spans="1:21" ht="35.25" customHeight="1">
      <c r="C15" s="198" t="s">
        <v>63</v>
      </c>
    </row>
    <row r="18" spans="3:3" ht="20.25">
      <c r="C18" s="199"/>
    </row>
    <row r="33" spans="2:2">
      <c r="B33" s="278"/>
    </row>
    <row r="34" spans="2:2">
      <c r="B34" s="279"/>
    </row>
  </sheetData>
  <pageMargins left="1" right="1" top="1" bottom="1" header="1" footer="1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C1" zoomScale="125" workbookViewId="0">
      <selection activeCell="R13" sqref="R13:S13"/>
    </sheetView>
  </sheetViews>
  <sheetFormatPr defaultRowHeight="12.75"/>
  <cols>
    <col min="1" max="1" width="3.28515625" customWidth="1"/>
    <col min="2" max="2" width="26.5703125" customWidth="1"/>
    <col min="3" max="4" width="10.5703125" style="49" customWidth="1"/>
    <col min="5" max="5" width="8.85546875" customWidth="1"/>
    <col min="6" max="6" width="11.85546875" style="49" customWidth="1"/>
    <col min="7" max="7" width="12.140625" style="49" customWidth="1"/>
    <col min="8" max="8" width="1" style="51" customWidth="1"/>
    <col min="9" max="9" width="1.28515625" style="51" customWidth="1"/>
    <col min="10" max="11" width="1" style="51" customWidth="1"/>
    <col min="12" max="12" width="12.7109375" customWidth="1"/>
    <col min="13" max="13" width="1.140625" style="49" customWidth="1"/>
    <col min="14" max="14" width="0.7109375" style="49" customWidth="1"/>
    <col min="15" max="15" width="16.85546875" customWidth="1"/>
    <col min="16" max="16" width="10.85546875" customWidth="1"/>
    <col min="17" max="17" width="9.7109375" style="49" customWidth="1"/>
    <col min="18" max="18" width="11.28515625" style="49" customWidth="1"/>
    <col min="19" max="19" width="11.28515625" customWidth="1"/>
  </cols>
  <sheetData>
    <row r="1" spans="1:19" s="54" customFormat="1" ht="18" customHeight="1">
      <c r="A1" s="52" t="s">
        <v>64</v>
      </c>
      <c r="B1" s="52"/>
      <c r="C1" s="50"/>
      <c r="D1" s="50"/>
      <c r="E1" s="52"/>
      <c r="F1" s="50" t="s">
        <v>65</v>
      </c>
      <c r="G1" s="53"/>
      <c r="H1" s="50"/>
      <c r="I1" s="50"/>
      <c r="J1" s="50"/>
      <c r="K1" s="50"/>
      <c r="L1" s="52"/>
      <c r="M1" s="50"/>
      <c r="N1" s="50"/>
      <c r="O1" s="52"/>
      <c r="P1" s="52"/>
      <c r="Q1" s="50"/>
      <c r="R1" s="50"/>
      <c r="S1" s="52"/>
    </row>
    <row r="2" spans="1:19" s="54" customFormat="1" ht="18.75" customHeight="1">
      <c r="A2" s="52"/>
      <c r="B2" s="119" t="s">
        <v>66</v>
      </c>
      <c r="C2" s="50"/>
      <c r="D2" s="50"/>
      <c r="E2" s="52"/>
      <c r="F2" s="50"/>
      <c r="G2" s="53"/>
      <c r="H2" s="50"/>
      <c r="I2" s="50"/>
      <c r="J2" s="50"/>
      <c r="K2" s="50"/>
      <c r="L2" s="52"/>
      <c r="M2" s="50"/>
      <c r="N2" s="50"/>
      <c r="O2" s="52"/>
      <c r="P2" s="52"/>
      <c r="Q2" s="50"/>
      <c r="R2" s="50"/>
      <c r="S2" s="52"/>
    </row>
    <row r="3" spans="1:19" s="54" customFormat="1" ht="12">
      <c r="A3" s="52"/>
      <c r="B3" s="52" t="s">
        <v>67</v>
      </c>
      <c r="C3" s="55">
        <v>2437.6999999999998</v>
      </c>
      <c r="D3" s="55"/>
      <c r="E3" s="52" t="s">
        <v>11</v>
      </c>
      <c r="F3" s="55" t="s">
        <v>68</v>
      </c>
      <c r="G3" s="56">
        <v>79</v>
      </c>
      <c r="H3" s="50"/>
      <c r="I3" s="50"/>
      <c r="J3" s="50"/>
      <c r="K3" s="50"/>
      <c r="L3" s="52"/>
      <c r="M3" s="50"/>
      <c r="N3" s="50"/>
      <c r="O3" s="52"/>
      <c r="P3" s="52"/>
      <c r="Q3" s="50"/>
      <c r="R3" s="50"/>
      <c r="S3" s="52"/>
    </row>
    <row r="4" spans="1:19" s="72" customFormat="1" ht="11.25">
      <c r="A4" s="67"/>
      <c r="B4" s="67" t="s">
        <v>12</v>
      </c>
      <c r="C4" s="68">
        <v>31</v>
      </c>
      <c r="D4" s="69"/>
      <c r="E4" s="67"/>
      <c r="F4" s="70"/>
      <c r="G4" s="71"/>
      <c r="H4" s="70"/>
      <c r="I4" s="70"/>
      <c r="J4" s="70"/>
      <c r="K4" s="70"/>
      <c r="L4" s="67"/>
      <c r="M4" s="70"/>
      <c r="N4" s="70"/>
      <c r="O4" s="67"/>
      <c r="P4" s="67"/>
      <c r="Q4" s="70"/>
      <c r="R4" s="70"/>
      <c r="S4" s="67"/>
    </row>
    <row r="5" spans="1:19" s="72" customFormat="1" ht="11.25">
      <c r="A5" s="280" t="s">
        <v>15</v>
      </c>
      <c r="B5" s="73" t="s">
        <v>16</v>
      </c>
      <c r="C5" s="61" t="s">
        <v>17</v>
      </c>
      <c r="D5" s="61" t="s">
        <v>17</v>
      </c>
      <c r="E5" s="74" t="s">
        <v>18</v>
      </c>
      <c r="F5" s="75" t="s">
        <v>19</v>
      </c>
      <c r="G5" s="75" t="s">
        <v>69</v>
      </c>
      <c r="H5" s="76"/>
      <c r="I5" s="76"/>
      <c r="J5" s="76"/>
      <c r="K5" s="76"/>
      <c r="L5" s="75" t="s">
        <v>69</v>
      </c>
      <c r="M5" s="76"/>
      <c r="N5" s="76"/>
      <c r="O5" s="77" t="s">
        <v>70</v>
      </c>
      <c r="P5" s="74" t="s">
        <v>71</v>
      </c>
      <c r="Q5" s="75" t="s">
        <v>72</v>
      </c>
      <c r="R5" s="281" t="s">
        <v>73</v>
      </c>
      <c r="S5" s="78" t="s">
        <v>74</v>
      </c>
    </row>
    <row r="6" spans="1:19" s="72" customFormat="1" ht="11.25">
      <c r="A6" s="282" t="s">
        <v>20</v>
      </c>
      <c r="B6" s="79"/>
      <c r="C6" s="62" t="s">
        <v>21</v>
      </c>
      <c r="D6" s="62" t="s">
        <v>21</v>
      </c>
      <c r="E6" s="80" t="s">
        <v>22</v>
      </c>
      <c r="F6" s="81" t="s">
        <v>23</v>
      </c>
      <c r="G6" s="81" t="s">
        <v>75</v>
      </c>
      <c r="H6" s="82"/>
      <c r="I6" s="82"/>
      <c r="J6" s="82"/>
      <c r="K6" s="82"/>
      <c r="L6" s="81" t="s">
        <v>76</v>
      </c>
      <c r="M6" s="82"/>
      <c r="N6" s="82"/>
      <c r="O6" s="83" t="s">
        <v>77</v>
      </c>
      <c r="P6" s="84" t="s">
        <v>78</v>
      </c>
      <c r="Q6" s="81" t="s">
        <v>79</v>
      </c>
      <c r="R6" s="283" t="s">
        <v>80</v>
      </c>
      <c r="S6" s="85"/>
    </row>
    <row r="7" spans="1:19" s="72" customFormat="1" ht="11.25">
      <c r="A7" s="282"/>
      <c r="B7" s="79"/>
      <c r="C7" s="63" t="s">
        <v>81</v>
      </c>
      <c r="D7" s="63" t="s">
        <v>82</v>
      </c>
      <c r="E7" s="80"/>
      <c r="F7" s="81" t="s">
        <v>26</v>
      </c>
      <c r="G7" s="81" t="s">
        <v>83</v>
      </c>
      <c r="H7" s="82" t="s">
        <v>84</v>
      </c>
      <c r="I7" s="82" t="s">
        <v>85</v>
      </c>
      <c r="J7" s="82" t="s">
        <v>86</v>
      </c>
      <c r="K7" s="82" t="s">
        <v>87</v>
      </c>
      <c r="L7" s="81" t="s">
        <v>83</v>
      </c>
      <c r="M7" s="82" t="s">
        <v>88</v>
      </c>
      <c r="N7" s="82" t="s">
        <v>89</v>
      </c>
      <c r="O7" s="86" t="s">
        <v>90</v>
      </c>
      <c r="P7" s="80"/>
      <c r="Q7" s="81" t="s">
        <v>91</v>
      </c>
      <c r="R7" s="283" t="s">
        <v>92</v>
      </c>
      <c r="S7" s="85"/>
    </row>
    <row r="8" spans="1:19" s="72" customFormat="1" ht="11.25">
      <c r="A8" s="284"/>
      <c r="B8" s="87"/>
      <c r="C8" s="64"/>
      <c r="D8" s="64"/>
      <c r="E8" s="88"/>
      <c r="F8" s="89" t="s">
        <v>93</v>
      </c>
      <c r="G8" s="89" t="s">
        <v>94</v>
      </c>
      <c r="H8" s="90"/>
      <c r="I8" s="90"/>
      <c r="J8" s="90"/>
      <c r="K8" s="90"/>
      <c r="L8" s="89" t="s">
        <v>94</v>
      </c>
      <c r="M8" s="90"/>
      <c r="N8" s="90"/>
      <c r="O8" s="91"/>
      <c r="P8" s="88"/>
      <c r="Q8" s="90" t="s">
        <v>23</v>
      </c>
      <c r="R8" s="285" t="s">
        <v>95</v>
      </c>
      <c r="S8" s="92"/>
    </row>
    <row r="9" spans="1:19" s="72" customFormat="1" ht="11.25">
      <c r="A9" s="286">
        <v>1</v>
      </c>
      <c r="B9" s="121" t="s">
        <v>29</v>
      </c>
      <c r="C9" s="122"/>
      <c r="D9" s="122"/>
      <c r="E9" s="123"/>
      <c r="F9" s="76"/>
      <c r="G9" s="75">
        <f>SUM(H9:K9)</f>
        <v>33055.19</v>
      </c>
      <c r="H9" s="76">
        <f>6932.13+1056.06+275.61</f>
        <v>8263.8000000000011</v>
      </c>
      <c r="I9" s="76">
        <f>6757.38+1230.81+137.8+137.81</f>
        <v>8263.8000000000011</v>
      </c>
      <c r="J9" s="76">
        <f>6757.38+1230.81+137.8+137.8</f>
        <v>8263.7900000000009</v>
      </c>
      <c r="K9" s="76">
        <f>1230.81+137.8+6757.38+137.81</f>
        <v>8263.7999999999993</v>
      </c>
      <c r="L9" s="75">
        <f>M9+N9</f>
        <v>16527.599999999999</v>
      </c>
      <c r="M9" s="76">
        <f>7988.19+275.61</f>
        <v>8263.7999999999993</v>
      </c>
      <c r="N9" s="76">
        <f>7988.19+275.61</f>
        <v>8263.7999999999993</v>
      </c>
      <c r="O9" s="124" t="s">
        <v>96</v>
      </c>
      <c r="P9" s="123"/>
      <c r="Q9" s="76"/>
      <c r="R9" s="125"/>
      <c r="S9" s="126">
        <f>G9+L9-R10</f>
        <v>0</v>
      </c>
    </row>
    <row r="10" spans="1:19" s="72" customFormat="1" ht="11.25">
      <c r="A10" s="287"/>
      <c r="B10" s="127" t="s">
        <v>30</v>
      </c>
      <c r="C10" s="64">
        <v>3.39</v>
      </c>
      <c r="D10" s="64">
        <v>3.39</v>
      </c>
      <c r="E10" s="88" t="s">
        <v>97</v>
      </c>
      <c r="F10" s="288">
        <f>C3*C10</f>
        <v>8263.8029999999999</v>
      </c>
      <c r="G10" s="89"/>
      <c r="H10" s="90"/>
      <c r="I10" s="90"/>
      <c r="J10" s="90"/>
      <c r="K10" s="90">
        <v>0</v>
      </c>
      <c r="L10" s="89"/>
      <c r="M10" s="90"/>
      <c r="N10" s="90">
        <v>0</v>
      </c>
      <c r="O10" s="91"/>
      <c r="P10" s="88" t="s">
        <v>98</v>
      </c>
      <c r="Q10" s="90"/>
      <c r="R10" s="128">
        <v>49582.79</v>
      </c>
      <c r="S10" s="92"/>
    </row>
    <row r="11" spans="1:19" s="72" customFormat="1" ht="11.25">
      <c r="A11" s="287">
        <v>2</v>
      </c>
      <c r="B11" s="121" t="s">
        <v>32</v>
      </c>
      <c r="C11" s="122"/>
      <c r="D11" s="122"/>
      <c r="E11" s="123"/>
      <c r="F11" s="76"/>
      <c r="G11" s="75">
        <f>SUM(H11:K11)</f>
        <v>44561.200000000004</v>
      </c>
      <c r="H11" s="76">
        <f>9345.09+1423.67+371.54</f>
        <v>11140.300000000001</v>
      </c>
      <c r="I11" s="76">
        <f>9109.51+1659.25+185.77+185.77</f>
        <v>11140.300000000001</v>
      </c>
      <c r="J11" s="76">
        <f>9109.51+185.77+1659.25+185.77</f>
        <v>11140.300000000001</v>
      </c>
      <c r="K11" s="76">
        <f>1659.25+9109.51+185.77+185.77</f>
        <v>11140.300000000001</v>
      </c>
      <c r="L11" s="75">
        <f>SUM(M11:N11)</f>
        <v>22280.6</v>
      </c>
      <c r="M11" s="76">
        <f>10768.76+371.54</f>
        <v>11140.300000000001</v>
      </c>
      <c r="N11" s="76">
        <v>11140.3</v>
      </c>
      <c r="O11" s="124" t="s">
        <v>96</v>
      </c>
      <c r="P11" s="123"/>
      <c r="Q11" s="76"/>
      <c r="R11" s="125"/>
      <c r="S11" s="126">
        <f>G11+L11-R12</f>
        <v>18941.800000000003</v>
      </c>
    </row>
    <row r="12" spans="1:19" s="72" customFormat="1" ht="11.25">
      <c r="A12" s="287"/>
      <c r="B12" s="127" t="s">
        <v>33</v>
      </c>
      <c r="C12" s="64">
        <v>4.57</v>
      </c>
      <c r="D12" s="64">
        <v>4.57</v>
      </c>
      <c r="E12" s="88" t="s">
        <v>97</v>
      </c>
      <c r="F12" s="288">
        <f>C3*C12</f>
        <v>11140.289000000001</v>
      </c>
      <c r="G12" s="89">
        <f>H12+I12+J12+K12</f>
        <v>0</v>
      </c>
      <c r="H12" s="90">
        <v>0</v>
      </c>
      <c r="I12" s="90">
        <v>0</v>
      </c>
      <c r="J12" s="90">
        <v>0</v>
      </c>
      <c r="K12" s="90">
        <v>0</v>
      </c>
      <c r="L12" s="89">
        <v>0</v>
      </c>
      <c r="M12" s="90"/>
      <c r="N12" s="90">
        <v>0</v>
      </c>
      <c r="O12" s="91"/>
      <c r="P12" s="129" t="s">
        <v>98</v>
      </c>
      <c r="Q12" s="90"/>
      <c r="R12" s="128">
        <f>C32+C33</f>
        <v>47900</v>
      </c>
      <c r="S12" s="92"/>
    </row>
    <row r="13" spans="1:19" s="72" customFormat="1" ht="11.25">
      <c r="A13" s="287">
        <v>3</v>
      </c>
      <c r="B13" s="57" t="s">
        <v>99</v>
      </c>
      <c r="C13" s="65">
        <v>0.33</v>
      </c>
      <c r="D13" s="65">
        <v>0.33</v>
      </c>
      <c r="E13" s="93" t="s">
        <v>97</v>
      </c>
      <c r="F13" s="94">
        <f>C3*C13</f>
        <v>804.44100000000003</v>
      </c>
      <c r="G13" s="95">
        <f t="shared" ref="G13:G21" si="0">SUM(H13:K13)</f>
        <v>3217.7599999999998</v>
      </c>
      <c r="H13" s="94">
        <f>674.81+102.8+26.83</f>
        <v>804.43999999999994</v>
      </c>
      <c r="I13" s="94">
        <f>657.8+119.81+13.41+13.42</f>
        <v>804.43999999999983</v>
      </c>
      <c r="J13" s="94">
        <f>119.81+657.8+13.41+13.42</f>
        <v>804.43999999999983</v>
      </c>
      <c r="K13" s="94">
        <f>13.41+119.81+657.8+13.42</f>
        <v>804.43999999999994</v>
      </c>
      <c r="L13" s="95">
        <f>SUM(M13:N13)</f>
        <v>1608.88</v>
      </c>
      <c r="M13" s="94">
        <f>777.61+26.83</f>
        <v>804.44</v>
      </c>
      <c r="N13" s="94">
        <v>804.44</v>
      </c>
      <c r="O13" s="96" t="s">
        <v>100</v>
      </c>
      <c r="P13" s="93" t="s">
        <v>101</v>
      </c>
      <c r="Q13" s="94">
        <v>800</v>
      </c>
      <c r="R13" s="97">
        <v>1600</v>
      </c>
      <c r="S13" s="65">
        <f>G13+L13-R13</f>
        <v>3226.6399999999994</v>
      </c>
    </row>
    <row r="14" spans="1:19" s="72" customFormat="1" ht="11.25">
      <c r="A14" s="287">
        <v>4</v>
      </c>
      <c r="B14" s="58" t="s">
        <v>34</v>
      </c>
      <c r="C14" s="63">
        <v>1.29</v>
      </c>
      <c r="D14" s="63">
        <v>1.29</v>
      </c>
      <c r="E14" s="80" t="s">
        <v>97</v>
      </c>
      <c r="F14" s="289">
        <f>C3*C14</f>
        <v>3144.6329999999998</v>
      </c>
      <c r="G14" s="81">
        <f t="shared" si="0"/>
        <v>12578.52</v>
      </c>
      <c r="H14" s="82">
        <f>2637.9+401.85+104.88</f>
        <v>3144.63</v>
      </c>
      <c r="I14" s="82">
        <f>2571.4+468.35+52.44+52.44</f>
        <v>3144.63</v>
      </c>
      <c r="J14" s="82">
        <f>468.35+2571.4+52.44+52.44</f>
        <v>3144.63</v>
      </c>
      <c r="K14" s="82">
        <f>52.44+468.35+2571.4+52.44</f>
        <v>3144.63</v>
      </c>
      <c r="L14" s="81">
        <f>M14+N14</f>
        <v>6289.26</v>
      </c>
      <c r="M14" s="82">
        <f>3039.75+104.88</f>
        <v>3144.63</v>
      </c>
      <c r="N14" s="82">
        <v>3144.63</v>
      </c>
      <c r="O14" s="86" t="s">
        <v>96</v>
      </c>
      <c r="P14" s="80" t="s">
        <v>102</v>
      </c>
      <c r="Q14" s="82"/>
      <c r="R14" s="98">
        <v>18867.78</v>
      </c>
      <c r="S14" s="63">
        <f>G14+L14-R14</f>
        <v>0</v>
      </c>
    </row>
    <row r="15" spans="1:19" s="72" customFormat="1" ht="11.25">
      <c r="A15" s="287">
        <v>5</v>
      </c>
      <c r="B15" s="58" t="s">
        <v>36</v>
      </c>
      <c r="C15" s="63">
        <v>1.27</v>
      </c>
      <c r="D15" s="63">
        <v>1.27</v>
      </c>
      <c r="E15" s="80" t="s">
        <v>97</v>
      </c>
      <c r="F15" s="289">
        <f>(C3-92)*C15</f>
        <v>2979.0389999999998</v>
      </c>
      <c r="G15" s="81">
        <f t="shared" si="0"/>
        <v>11916.24</v>
      </c>
      <c r="H15" s="82">
        <f>2480.18+395.63+103.25</f>
        <v>2979.06</v>
      </c>
      <c r="I15" s="82">
        <f>2414.71+461.1+51.63+51.62</f>
        <v>2979.06</v>
      </c>
      <c r="J15" s="82">
        <f>461.1+2414.71+51.63+51.62</f>
        <v>2979.06</v>
      </c>
      <c r="K15" s="82">
        <f>51.63+461.1+2414.71+51.62</f>
        <v>2979.06</v>
      </c>
      <c r="L15" s="81">
        <f>M15+N15</f>
        <v>5958.12</v>
      </c>
      <c r="M15" s="82">
        <f>2875.81+103.25</f>
        <v>2979.06</v>
      </c>
      <c r="N15" s="82">
        <v>2979.06</v>
      </c>
      <c r="O15" s="86" t="s">
        <v>96</v>
      </c>
      <c r="P15" s="80" t="s">
        <v>102</v>
      </c>
      <c r="Q15" s="82"/>
      <c r="R15" s="98">
        <v>17874.36</v>
      </c>
      <c r="S15" s="63">
        <f>G15+L15-R15</f>
        <v>0</v>
      </c>
    </row>
    <row r="16" spans="1:19" s="72" customFormat="1" ht="11.25">
      <c r="A16" s="287">
        <v>6</v>
      </c>
      <c r="B16" s="58" t="s">
        <v>38</v>
      </c>
      <c r="C16" s="63">
        <v>2.9</v>
      </c>
      <c r="D16" s="63">
        <v>2.9</v>
      </c>
      <c r="E16" s="80" t="s">
        <v>97</v>
      </c>
      <c r="F16" s="289">
        <f>C3*C16</f>
        <v>7069.329999999999</v>
      </c>
      <c r="G16" s="81">
        <f t="shared" si="0"/>
        <v>28277.360000000001</v>
      </c>
      <c r="H16" s="82">
        <f>5930.13+903.44+235.77</f>
        <v>7069.34</v>
      </c>
      <c r="I16" s="82">
        <f>5780.63+1052.94+117.88+117.89</f>
        <v>7069.34</v>
      </c>
      <c r="J16" s="82">
        <f>1052.94+5780.63+117.88+117.89</f>
        <v>7069.34</v>
      </c>
      <c r="K16" s="82">
        <f>1052.94+117.88+5780.63+117.89</f>
        <v>7069.3400000000011</v>
      </c>
      <c r="L16" s="81">
        <f>SUM(M16:N16)</f>
        <v>14138.68</v>
      </c>
      <c r="M16" s="82">
        <f>6833.57+235.77</f>
        <v>7069.34</v>
      </c>
      <c r="N16" s="82">
        <v>7069.34</v>
      </c>
      <c r="O16" s="86" t="s">
        <v>103</v>
      </c>
      <c r="P16" s="80" t="s">
        <v>104</v>
      </c>
      <c r="Q16" s="82"/>
      <c r="R16" s="98"/>
      <c r="S16" s="63">
        <f>G16+L16</f>
        <v>42416.04</v>
      </c>
    </row>
    <row r="17" spans="1:19" s="72" customFormat="1" ht="11.25">
      <c r="A17" s="287">
        <v>7</v>
      </c>
      <c r="B17" s="58" t="s">
        <v>105</v>
      </c>
      <c r="C17" s="63">
        <v>1.93</v>
      </c>
      <c r="D17" s="63">
        <v>1.93</v>
      </c>
      <c r="E17" s="80" t="s">
        <v>106</v>
      </c>
      <c r="F17" s="82">
        <v>3057.52</v>
      </c>
      <c r="G17" s="81">
        <f t="shared" si="0"/>
        <v>9172.56</v>
      </c>
      <c r="H17" s="82">
        <v>0</v>
      </c>
      <c r="I17" s="82">
        <f>2354.09+509.12+97.16+97.15</f>
        <v>3057.52</v>
      </c>
      <c r="J17" s="82">
        <f>509.12+2354.09+97.16+97.15</f>
        <v>3057.52</v>
      </c>
      <c r="K17" s="82">
        <f>97.16+509.12+2354.09+97.15</f>
        <v>3057.52</v>
      </c>
      <c r="L17" s="81">
        <f>SUM(M17:N17)</f>
        <v>4938.12</v>
      </c>
      <c r="M17" s="82">
        <f>2312.15+156.91</f>
        <v>2469.06</v>
      </c>
      <c r="N17" s="82">
        <v>2469.06</v>
      </c>
      <c r="O17" s="86" t="s">
        <v>107</v>
      </c>
      <c r="P17" s="80" t="s">
        <v>108</v>
      </c>
      <c r="Q17" s="82">
        <v>2267.2399999999998</v>
      </c>
      <c r="R17" s="98">
        <f>Q17*5</f>
        <v>11336.199999999999</v>
      </c>
      <c r="S17" s="63">
        <f>G17+L17-R17</f>
        <v>2774.4800000000014</v>
      </c>
    </row>
    <row r="18" spans="1:19" s="72" customFormat="1" ht="11.25">
      <c r="A18" s="287">
        <v>8</v>
      </c>
      <c r="B18" s="58" t="s">
        <v>109</v>
      </c>
      <c r="C18" s="63">
        <v>0.46</v>
      </c>
      <c r="D18" s="63">
        <v>0.46</v>
      </c>
      <c r="E18" s="80" t="s">
        <v>97</v>
      </c>
      <c r="F18" s="82">
        <f>(C3-92)*C18</f>
        <v>1079.0219999999999</v>
      </c>
      <c r="G18" s="81">
        <f t="shared" si="0"/>
        <v>2885.12</v>
      </c>
      <c r="H18" s="82">
        <f>749.67+113.52+37.4</f>
        <v>900.58999999999992</v>
      </c>
      <c r="I18" s="82">
        <f>725.96+137.23+18.7+18.7</f>
        <v>900.59000000000015</v>
      </c>
      <c r="J18" s="82">
        <f>-37.4</f>
        <v>-37.4</v>
      </c>
      <c r="K18" s="82">
        <f>18.7+167.04+916.9+18.7</f>
        <v>1121.3399999999999</v>
      </c>
      <c r="L18" s="81">
        <f>M18+N18</f>
        <v>2242.6800000000003</v>
      </c>
      <c r="M18" s="82">
        <f>1083.94+37.4</f>
        <v>1121.3400000000001</v>
      </c>
      <c r="N18" s="82">
        <v>1121.3399999999999</v>
      </c>
      <c r="O18" s="86" t="s">
        <v>110</v>
      </c>
      <c r="P18" s="80" t="s">
        <v>98</v>
      </c>
      <c r="Q18" s="82"/>
      <c r="R18" s="98">
        <v>5127.8</v>
      </c>
      <c r="S18" s="63">
        <f>G18+L18-R18</f>
        <v>0</v>
      </c>
    </row>
    <row r="19" spans="1:19" s="72" customFormat="1" ht="11.25">
      <c r="A19" s="287">
        <v>9</v>
      </c>
      <c r="B19" s="59" t="s">
        <v>111</v>
      </c>
      <c r="C19" s="66">
        <v>0.2</v>
      </c>
      <c r="D19" s="66">
        <v>0.2</v>
      </c>
      <c r="E19" s="100" t="s">
        <v>97</v>
      </c>
      <c r="F19" s="101">
        <f>C3*C19</f>
        <v>487.53999999999996</v>
      </c>
      <c r="G19" s="81">
        <f t="shared" si="0"/>
        <v>1950.16</v>
      </c>
      <c r="H19" s="101">
        <f>408.97+62.31+16.26</f>
        <v>487.54</v>
      </c>
      <c r="I19" s="101">
        <f>398.66+72.62+8.12+8.14</f>
        <v>487.54</v>
      </c>
      <c r="J19" s="101">
        <f>72.62+8.12+398.66+8.14</f>
        <v>487.54</v>
      </c>
      <c r="K19" s="101">
        <f>72.62+8.12+398.66+8.14</f>
        <v>487.54</v>
      </c>
      <c r="L19" s="102">
        <f>M19+N19</f>
        <v>975.07999999999993</v>
      </c>
      <c r="M19" s="101">
        <f>471.28+16.26</f>
        <v>487.53999999999996</v>
      </c>
      <c r="N19" s="101">
        <v>487.54</v>
      </c>
      <c r="O19" s="103" t="s">
        <v>96</v>
      </c>
      <c r="P19" s="100" t="s">
        <v>98</v>
      </c>
      <c r="Q19" s="101">
        <v>487.54</v>
      </c>
      <c r="R19" s="104">
        <v>2925.24</v>
      </c>
      <c r="S19" s="66">
        <f>G19+L19-R19</f>
        <v>0</v>
      </c>
    </row>
    <row r="20" spans="1:19" s="72" customFormat="1" ht="11.25">
      <c r="A20" s="287"/>
      <c r="B20" s="60" t="s">
        <v>112</v>
      </c>
      <c r="C20" s="66"/>
      <c r="D20" s="66"/>
      <c r="E20" s="100"/>
      <c r="F20" s="102">
        <f>F10+F12+F13+F14+F15+F16+F17+F18+F19</f>
        <v>38025.616999999991</v>
      </c>
      <c r="G20" s="102">
        <f t="shared" si="0"/>
        <v>147614.11000000002</v>
      </c>
      <c r="H20" s="102">
        <f>H9+H11+H13+H14+H15+H16+H17+H18+H19</f>
        <v>34789.700000000004</v>
      </c>
      <c r="I20" s="102">
        <f>I9+I11+I13+I14+I15+I16+I17+I18+I19</f>
        <v>37847.220000000008</v>
      </c>
      <c r="J20" s="102">
        <f>J9+J11+J13+J14+J15+J16+J17+J18+J19</f>
        <v>36909.22</v>
      </c>
      <c r="K20" s="102">
        <f>K9+K11+K13+K14+K15+K16+K17+K18+K19</f>
        <v>38067.969999999994</v>
      </c>
      <c r="L20" s="102">
        <f>M20+N20</f>
        <v>74959.01999999999</v>
      </c>
      <c r="M20" s="102">
        <f>M9+M11+M13+M14+M15+M16+M17+M18+M19</f>
        <v>37479.51</v>
      </c>
      <c r="N20" s="102">
        <f>N9+N11+N13+N14+N15+N16+N17+N18+N19</f>
        <v>37479.509999999995</v>
      </c>
      <c r="O20" s="103"/>
      <c r="P20" s="100"/>
      <c r="Q20" s="101"/>
      <c r="R20" s="104"/>
      <c r="S20" s="105"/>
    </row>
    <row r="21" spans="1:19" s="72" customFormat="1" ht="11.25">
      <c r="A21" s="287">
        <v>10</v>
      </c>
      <c r="B21" s="58" t="s">
        <v>113</v>
      </c>
      <c r="C21" s="63" t="s">
        <v>114</v>
      </c>
      <c r="D21" s="63" t="s">
        <v>115</v>
      </c>
      <c r="E21" s="80" t="s">
        <v>116</v>
      </c>
      <c r="F21" s="82">
        <v>0</v>
      </c>
      <c r="G21" s="81">
        <f t="shared" si="0"/>
        <v>57433.09</v>
      </c>
      <c r="H21" s="82">
        <f>11279.03+1834.58+1199.16</f>
        <v>14312.77</v>
      </c>
      <c r="I21" s="82">
        <f>12414.91+1133.04+372.64+372.64+254+74.54+74.54+50.8</f>
        <v>14747.11</v>
      </c>
      <c r="J21" s="82">
        <f>774.47+11169.56+372.64+372.64+254+74.54+74.54+50.8</f>
        <v>13143.189999999999</v>
      </c>
      <c r="K21" s="82">
        <f>2082.29+372.64+372.64+254+11948.57+74.54+74.54+50.8</f>
        <v>15230.02</v>
      </c>
      <c r="L21" s="81">
        <f>M21+N21</f>
        <v>32797.43</v>
      </c>
      <c r="M21" s="82">
        <f>14552.53+527.82+527.82+359.76</f>
        <v>15967.93</v>
      </c>
      <c r="N21" s="82">
        <f>15414.1+527.82+527.82+359.76</f>
        <v>16829.5</v>
      </c>
      <c r="O21" s="86" t="s">
        <v>117</v>
      </c>
      <c r="P21" s="80" t="s">
        <v>118</v>
      </c>
      <c r="Q21" s="82"/>
      <c r="R21" s="98">
        <f>37804.06+7330.83+10841.68+30444.86</f>
        <v>86421.43</v>
      </c>
      <c r="S21" s="63">
        <f>G21+L21-R21</f>
        <v>3809.0899999999965</v>
      </c>
    </row>
    <row r="22" spans="1:19" s="72" customFormat="1" ht="11.25">
      <c r="A22" s="287"/>
      <c r="B22" s="58" t="s">
        <v>119</v>
      </c>
      <c r="C22" s="63">
        <v>11.14</v>
      </c>
      <c r="D22" s="63">
        <v>13.15</v>
      </c>
      <c r="E22" s="80" t="s">
        <v>120</v>
      </c>
      <c r="F22" s="289">
        <v>0</v>
      </c>
      <c r="G22" s="81"/>
      <c r="H22" s="82"/>
      <c r="I22" s="82">
        <v>0</v>
      </c>
      <c r="J22" s="82">
        <v>0</v>
      </c>
      <c r="K22" s="82">
        <v>0</v>
      </c>
      <c r="L22" s="81"/>
      <c r="M22" s="82">
        <v>0</v>
      </c>
      <c r="N22" s="82">
        <v>0</v>
      </c>
      <c r="O22" s="86" t="s">
        <v>117</v>
      </c>
      <c r="P22" s="80"/>
      <c r="Q22" s="82"/>
      <c r="R22" s="98"/>
      <c r="S22" s="99"/>
    </row>
    <row r="23" spans="1:19" s="72" customFormat="1" ht="11.25">
      <c r="A23" s="287"/>
      <c r="B23" s="58" t="s">
        <v>121</v>
      </c>
      <c r="C23" s="63">
        <v>11.14</v>
      </c>
      <c r="D23" s="63">
        <v>13.15</v>
      </c>
      <c r="E23" s="80" t="s">
        <v>120</v>
      </c>
      <c r="F23" s="289">
        <v>0</v>
      </c>
      <c r="G23" s="81"/>
      <c r="H23" s="82"/>
      <c r="I23" s="82">
        <v>0</v>
      </c>
      <c r="J23" s="82">
        <v>0</v>
      </c>
      <c r="K23" s="82">
        <v>0</v>
      </c>
      <c r="L23" s="81"/>
      <c r="M23" s="82">
        <v>0</v>
      </c>
      <c r="N23" s="82">
        <v>0</v>
      </c>
      <c r="O23" s="86" t="s">
        <v>117</v>
      </c>
      <c r="P23" s="80"/>
      <c r="Q23" s="82"/>
      <c r="R23" s="98"/>
      <c r="S23" s="99"/>
    </row>
    <row r="24" spans="1:19" s="72" customFormat="1" ht="11.25">
      <c r="A24" s="287">
        <v>11</v>
      </c>
      <c r="B24" s="58" t="s">
        <v>122</v>
      </c>
      <c r="C24" s="63" t="s">
        <v>123</v>
      </c>
      <c r="D24" s="63" t="s">
        <v>124</v>
      </c>
      <c r="E24" s="80" t="s">
        <v>116</v>
      </c>
      <c r="F24" s="289">
        <v>0</v>
      </c>
      <c r="G24" s="81">
        <f>SUM(H24:K24)</f>
        <v>57673.83</v>
      </c>
      <c r="H24" s="82">
        <f>11946.17+2007.02+1306.14</f>
        <v>15259.33</v>
      </c>
      <c r="I24" s="82">
        <f>10953.49+1136.22+1044.6+217.7</f>
        <v>13352.01</v>
      </c>
      <c r="J24" s="82">
        <f>730.32+11850.45+1010.9+222.94</f>
        <v>13814.61</v>
      </c>
      <c r="K24" s="82">
        <f>2248.58+1088.44+11693.16+217.7</f>
        <v>15247.880000000001</v>
      </c>
      <c r="L24" s="81">
        <f>M24+N24</f>
        <v>35266</v>
      </c>
      <c r="M24" s="82">
        <f>15715.11+1528.32</f>
        <v>17243.43</v>
      </c>
      <c r="N24" s="82">
        <f>16494.25+1528.32</f>
        <v>18022.57</v>
      </c>
      <c r="O24" s="86" t="s">
        <v>125</v>
      </c>
      <c r="P24" s="80" t="s">
        <v>126</v>
      </c>
      <c r="Q24" s="82" t="s">
        <v>127</v>
      </c>
      <c r="R24" s="98">
        <v>240950.71</v>
      </c>
      <c r="S24" s="63">
        <f>G24+G25+L24+L25-R24</f>
        <v>59450.840000000055</v>
      </c>
    </row>
    <row r="25" spans="1:19" s="72" customFormat="1" ht="11.25">
      <c r="A25" s="287">
        <v>12</v>
      </c>
      <c r="B25" s="58" t="s">
        <v>48</v>
      </c>
      <c r="C25" s="63">
        <v>13.29</v>
      </c>
      <c r="D25" s="63">
        <v>16.850000000000001</v>
      </c>
      <c r="E25" s="80" t="s">
        <v>97</v>
      </c>
      <c r="F25" s="289">
        <f>D25*C3</f>
        <v>41075.245000000003</v>
      </c>
      <c r="G25" s="81">
        <f>SUM(H25:K25)</f>
        <v>125311.08</v>
      </c>
      <c r="H25" s="82">
        <f>27519.24+3671.01+1080.48</f>
        <v>32270.73</v>
      </c>
      <c r="I25" s="82">
        <f>24907.26+4356.11+795.96+222.94</f>
        <v>30282.269999999997</v>
      </c>
      <c r="J25" s="82">
        <f>4356.11+25157.89+750.41+222.94</f>
        <v>30487.35</v>
      </c>
      <c r="K25" s="82">
        <f>4356.11+857.54+26834.14+222.94</f>
        <v>32270.73</v>
      </c>
      <c r="L25" s="81">
        <f>M25+N25</f>
        <v>82150.640000000014</v>
      </c>
      <c r="M25" s="82">
        <f>39705.41+1369.91</f>
        <v>41075.320000000007</v>
      </c>
      <c r="N25" s="82">
        <f>39705.41+1369.91</f>
        <v>41075.320000000007</v>
      </c>
      <c r="O25" s="86" t="s">
        <v>125</v>
      </c>
      <c r="P25" s="80" t="s">
        <v>126</v>
      </c>
      <c r="Q25" s="82"/>
      <c r="R25" s="98"/>
      <c r="S25" s="99"/>
    </row>
    <row r="26" spans="1:19" s="72" customFormat="1" ht="11.25">
      <c r="A26" s="287">
        <v>13</v>
      </c>
      <c r="B26" s="58" t="s">
        <v>49</v>
      </c>
      <c r="C26" s="63">
        <v>28.08</v>
      </c>
      <c r="D26" s="63">
        <v>31.14</v>
      </c>
      <c r="E26" s="80" t="s">
        <v>128</v>
      </c>
      <c r="F26" s="82">
        <v>2416.06</v>
      </c>
      <c r="G26" s="81">
        <f>SUM(H26:K26)</f>
        <v>8357.23</v>
      </c>
      <c r="H26" s="82">
        <f>1668.34+269.18+28.08</f>
        <v>1965.6</v>
      </c>
      <c r="I26" s="82">
        <f>1755+189.64+140.4+28.08</f>
        <v>2113.12</v>
      </c>
      <c r="J26" s="82">
        <f>136.71+1755+140.4+28.08</f>
        <v>2060.19</v>
      </c>
      <c r="K26" s="82">
        <f>294.84+140.4+1755+28.08</f>
        <v>2218.3199999999997</v>
      </c>
      <c r="L26" s="81">
        <f>M26+N26</f>
        <v>4920.12</v>
      </c>
      <c r="M26" s="82">
        <f>2273.22+186.84</f>
        <v>2460.06</v>
      </c>
      <c r="N26" s="82">
        <f>2273.22+186.84</f>
        <v>2460.06</v>
      </c>
      <c r="O26" s="86" t="s">
        <v>129</v>
      </c>
      <c r="P26" s="80"/>
      <c r="Q26" s="82"/>
      <c r="R26" s="98">
        <v>6344.59</v>
      </c>
      <c r="S26" s="63">
        <f>G26+L26-R26</f>
        <v>6932.7599999999984</v>
      </c>
    </row>
    <row r="27" spans="1:19" s="72" customFormat="1" ht="11.25">
      <c r="A27" s="287">
        <v>14</v>
      </c>
      <c r="B27" s="58" t="s">
        <v>130</v>
      </c>
      <c r="C27" s="63">
        <v>0</v>
      </c>
      <c r="D27" s="63">
        <v>0</v>
      </c>
      <c r="E27" s="80" t="s">
        <v>97</v>
      </c>
      <c r="F27" s="82">
        <v>0</v>
      </c>
      <c r="G27" s="81"/>
      <c r="H27" s="82">
        <v>0</v>
      </c>
      <c r="I27" s="82">
        <v>0</v>
      </c>
      <c r="J27" s="82">
        <v>0</v>
      </c>
      <c r="K27" s="82">
        <v>0</v>
      </c>
      <c r="L27" s="81"/>
      <c r="M27" s="82">
        <v>0</v>
      </c>
      <c r="N27" s="82">
        <v>0</v>
      </c>
      <c r="O27" s="86"/>
      <c r="P27" s="80"/>
      <c r="Q27" s="82"/>
      <c r="R27" s="98"/>
      <c r="S27" s="63">
        <f>G27+L27-R27</f>
        <v>0</v>
      </c>
    </row>
    <row r="28" spans="1:19" s="72" customFormat="1" ht="11.25">
      <c r="A28" s="287"/>
      <c r="B28" s="106" t="s">
        <v>131</v>
      </c>
      <c r="C28" s="107"/>
      <c r="D28" s="107" t="s">
        <v>132</v>
      </c>
      <c r="E28" s="108"/>
      <c r="F28" s="109"/>
      <c r="G28" s="109">
        <f>G20+G21+G24+G25+G26+G27</f>
        <v>396389.34</v>
      </c>
      <c r="H28" s="110">
        <f>H20+H21+H24+H25+H26</f>
        <v>98598.13</v>
      </c>
      <c r="I28" s="110">
        <f>I20+I21+I24+I25+I26</f>
        <v>98341.73000000001</v>
      </c>
      <c r="J28" s="110">
        <f>J20+J21+J24+J25+J26</f>
        <v>96414.56</v>
      </c>
      <c r="K28" s="110">
        <f>K20+K21+K24+K25+K26</f>
        <v>103034.91999999998</v>
      </c>
      <c r="L28" s="109">
        <f>L20+L21+L24+L25+L26</f>
        <v>230093.21</v>
      </c>
      <c r="M28" s="110">
        <f>SUM(M21:M27)+M20</f>
        <v>114226.25</v>
      </c>
      <c r="N28" s="110">
        <f>SUM(N21:N27)+N20</f>
        <v>115866.96</v>
      </c>
      <c r="O28" s="111"/>
      <c r="P28" s="108"/>
      <c r="Q28" s="110"/>
      <c r="R28" s="112">
        <f>SUM(R9:R27)</f>
        <v>488930.89999999997</v>
      </c>
      <c r="S28" s="120">
        <f>S9+S11+S13+S14+S15+S16+S17+S18+S19+S21+S24+S26+S27</f>
        <v>137551.65000000005</v>
      </c>
    </row>
    <row r="29" spans="1:19" s="72" customFormat="1" ht="11.25">
      <c r="A29" s="114"/>
      <c r="B29" s="115"/>
      <c r="C29" s="107"/>
      <c r="D29" s="107"/>
      <c r="E29" s="116"/>
      <c r="F29" s="110"/>
      <c r="G29" s="109"/>
      <c r="H29" s="110"/>
      <c r="I29" s="110"/>
      <c r="J29" s="110"/>
      <c r="K29" s="110"/>
      <c r="L29" s="108"/>
      <c r="M29" s="110"/>
      <c r="N29" s="110"/>
      <c r="O29" s="117"/>
      <c r="P29" s="108"/>
      <c r="Q29" s="110"/>
      <c r="R29" s="118"/>
      <c r="S29" s="113"/>
    </row>
    <row r="30" spans="1:19" s="72" customFormat="1" ht="11.25">
      <c r="A30" s="84" t="s">
        <v>133</v>
      </c>
      <c r="B30" s="93"/>
      <c r="C30" s="94"/>
      <c r="D30" s="94"/>
      <c r="E30" s="93"/>
      <c r="F30" s="95" t="s">
        <v>134</v>
      </c>
      <c r="G30" s="95"/>
      <c r="H30" s="94"/>
      <c r="I30" s="94"/>
      <c r="J30" s="94"/>
      <c r="K30" s="94"/>
      <c r="L30" s="93"/>
      <c r="M30" s="94"/>
      <c r="N30" s="94"/>
      <c r="O30" s="93"/>
      <c r="P30" s="93"/>
      <c r="Q30" s="94"/>
      <c r="R30" s="95" t="s">
        <v>135</v>
      </c>
      <c r="S30" s="93"/>
    </row>
    <row r="31" spans="1:19">
      <c r="B31" s="130" t="s">
        <v>136</v>
      </c>
    </row>
    <row r="32" spans="1:19">
      <c r="B32" s="133" t="s">
        <v>137</v>
      </c>
      <c r="C32" s="131">
        <v>28500</v>
      </c>
    </row>
    <row r="33" spans="2:6">
      <c r="B33" s="133" t="s">
        <v>138</v>
      </c>
      <c r="C33" s="132">
        <v>19400</v>
      </c>
    </row>
    <row r="34" spans="2:6">
      <c r="B34" s="134" t="s">
        <v>139</v>
      </c>
    </row>
    <row r="35" spans="2:6">
      <c r="B35" s="130" t="s">
        <v>140</v>
      </c>
    </row>
    <row r="36" spans="2:6">
      <c r="B36" s="135" t="s">
        <v>141</v>
      </c>
      <c r="C36" s="136" t="s">
        <v>142</v>
      </c>
      <c r="D36" s="137"/>
      <c r="E36" s="138"/>
    </row>
    <row r="37" spans="2:6">
      <c r="C37" s="139" t="s">
        <v>143</v>
      </c>
      <c r="D37" s="140"/>
      <c r="E37" s="141"/>
    </row>
    <row r="38" spans="2:6">
      <c r="C38" s="139" t="s">
        <v>144</v>
      </c>
      <c r="D38" s="140"/>
      <c r="E38" s="141"/>
    </row>
    <row r="39" spans="2:6">
      <c r="C39" s="139" t="s">
        <v>145</v>
      </c>
      <c r="D39" s="140"/>
      <c r="E39" s="141"/>
    </row>
    <row r="40" spans="2:6">
      <c r="C40" s="139" t="s">
        <v>146</v>
      </c>
      <c r="D40" s="140"/>
      <c r="E40" s="141"/>
    </row>
    <row r="41" spans="2:6">
      <c r="C41" s="142" t="s">
        <v>147</v>
      </c>
      <c r="D41" s="143"/>
      <c r="E41" s="144"/>
    </row>
    <row r="42" spans="2:6">
      <c r="B42" s="147" t="s">
        <v>148</v>
      </c>
      <c r="C42" s="150" t="s">
        <v>149</v>
      </c>
      <c r="D42" s="150"/>
      <c r="E42" s="147">
        <v>450.4</v>
      </c>
    </row>
    <row r="43" spans="2:6">
      <c r="C43" s="49" t="s">
        <v>17</v>
      </c>
      <c r="D43" s="49" t="s">
        <v>23</v>
      </c>
      <c r="F43" s="49" t="s">
        <v>150</v>
      </c>
    </row>
    <row r="44" spans="2:6">
      <c r="B44" s="145" t="s">
        <v>29</v>
      </c>
      <c r="C44" s="152">
        <v>3.39</v>
      </c>
      <c r="D44" s="153">
        <f>C44*E42</f>
        <v>1526.856</v>
      </c>
      <c r="E44" s="154"/>
      <c r="F44" s="155">
        <f>D44*6</f>
        <v>9161.1360000000004</v>
      </c>
    </row>
    <row r="45" spans="2:6">
      <c r="B45" s="146" t="s">
        <v>30</v>
      </c>
      <c r="C45" s="156"/>
      <c r="D45" s="157"/>
      <c r="E45" s="158"/>
      <c r="F45" s="159"/>
    </row>
    <row r="46" spans="2:6">
      <c r="B46" s="145" t="s">
        <v>32</v>
      </c>
      <c r="C46" s="152">
        <v>4.57</v>
      </c>
      <c r="D46" s="153">
        <f>C46*E42</f>
        <v>2058.328</v>
      </c>
      <c r="E46" s="154"/>
      <c r="F46" s="155">
        <f>D46*6</f>
        <v>12349.968000000001</v>
      </c>
    </row>
    <row r="47" spans="2:6">
      <c r="B47" s="146" t="s">
        <v>33</v>
      </c>
      <c r="C47" s="156"/>
      <c r="D47" s="157"/>
      <c r="E47" s="158"/>
      <c r="F47" s="159"/>
    </row>
    <row r="48" spans="2:6">
      <c r="B48" s="160" t="s">
        <v>34</v>
      </c>
      <c r="C48" s="161">
        <v>1.29</v>
      </c>
      <c r="D48" s="162">
        <f>C48*E42</f>
        <v>581.01599999999996</v>
      </c>
      <c r="E48" s="163"/>
      <c r="F48" s="164">
        <f>D48*6</f>
        <v>3486.0959999999995</v>
      </c>
    </row>
    <row r="49" spans="2:18">
      <c r="B49" s="160" t="s">
        <v>111</v>
      </c>
      <c r="C49" s="161">
        <v>0.2</v>
      </c>
      <c r="D49" s="162">
        <f>C49*E42</f>
        <v>90.08</v>
      </c>
      <c r="E49" s="163"/>
      <c r="F49" s="164">
        <f>D49*6</f>
        <v>540.48</v>
      </c>
    </row>
    <row r="50" spans="2:18" s="149" customFormat="1">
      <c r="B50" s="165" t="s">
        <v>112</v>
      </c>
      <c r="C50" s="148"/>
      <c r="D50" s="166">
        <f>D44+D46+D48+D49</f>
        <v>4256.28</v>
      </c>
      <c r="E50" s="167"/>
      <c r="F50" s="168">
        <f>F44+F46+F48+F49</f>
        <v>25537.679999999997</v>
      </c>
      <c r="G50" s="148"/>
      <c r="H50" s="151"/>
      <c r="I50" s="151"/>
      <c r="J50" s="151"/>
      <c r="K50" s="151"/>
      <c r="M50" s="148"/>
      <c r="N50" s="148"/>
      <c r="Q50" s="148"/>
      <c r="R50" s="148"/>
    </row>
    <row r="51" spans="2:18">
      <c r="B51" s="160" t="s">
        <v>48</v>
      </c>
      <c r="C51" s="169" t="s">
        <v>151</v>
      </c>
      <c r="D51" s="170" t="s">
        <v>152</v>
      </c>
      <c r="E51" s="171"/>
      <c r="F51" s="172">
        <f>9746.66*4+10719.52*2</f>
        <v>60425.68</v>
      </c>
    </row>
  </sheetData>
  <pageMargins left="1" right="1" top="1" bottom="1" header="1" foot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22" zoomScale="90" zoomScaleNormal="90" workbookViewId="0">
      <selection activeCell="G29" sqref="G29"/>
    </sheetView>
  </sheetViews>
  <sheetFormatPr defaultRowHeight="12.75"/>
  <cols>
    <col min="1" max="1" width="4.5703125" style="267" customWidth="1"/>
    <col min="2" max="2" width="30.85546875" style="181" customWidth="1"/>
    <col min="3" max="3" width="11.5703125" style="204" customWidth="1"/>
    <col min="4" max="4" width="11.28515625" style="204" customWidth="1"/>
    <col min="5" max="5" width="11.5703125" style="204" customWidth="1"/>
    <col min="6" max="6" width="10.5703125" style="204" customWidth="1"/>
    <col min="7" max="7" width="12" style="205" customWidth="1"/>
    <col min="8" max="8" width="10.5703125" style="206" customWidth="1"/>
    <col min="9" max="9" width="11.7109375" style="207" customWidth="1"/>
    <col min="10" max="10" width="18.5703125" style="274" customWidth="1"/>
    <col min="11" max="11" width="13.85546875" style="190" customWidth="1"/>
    <col min="12" max="12" width="17.28515625" style="193" hidden="1" customWidth="1"/>
    <col min="13" max="13" width="11" style="181" hidden="1" customWidth="1"/>
    <col min="14" max="16384" width="9.140625" style="181"/>
  </cols>
  <sheetData>
    <row r="1" spans="1:15" s="180" customFormat="1" ht="27.75" customHeight="1">
      <c r="A1" s="266"/>
      <c r="B1" s="372" t="s">
        <v>153</v>
      </c>
      <c r="C1" s="372"/>
      <c r="D1" s="372"/>
      <c r="E1" s="372"/>
      <c r="F1" s="372"/>
      <c r="G1" s="372"/>
      <c r="H1" s="372"/>
      <c r="I1" s="372"/>
      <c r="J1" s="372"/>
      <c r="K1" s="372"/>
      <c r="L1" s="228"/>
      <c r="M1" s="227"/>
    </row>
    <row r="2" spans="1:15" s="200" customFormat="1" ht="21" customHeight="1">
      <c r="A2" s="232" t="s">
        <v>15</v>
      </c>
      <c r="B2" s="229" t="s">
        <v>16</v>
      </c>
      <c r="C2" s="230" t="s">
        <v>154</v>
      </c>
      <c r="D2" s="231" t="s">
        <v>155</v>
      </c>
      <c r="E2" s="231" t="s">
        <v>156</v>
      </c>
      <c r="F2" s="230" t="s">
        <v>154</v>
      </c>
      <c r="G2" s="231" t="s">
        <v>155</v>
      </c>
      <c r="H2" s="231" t="s">
        <v>156</v>
      </c>
      <c r="I2" s="231" t="s">
        <v>157</v>
      </c>
      <c r="J2" s="270" t="s">
        <v>70</v>
      </c>
      <c r="K2" s="233" t="s">
        <v>73</v>
      </c>
      <c r="L2" s="234" t="s">
        <v>158</v>
      </c>
      <c r="M2" s="227"/>
    </row>
    <row r="3" spans="1:15" s="200" customFormat="1" ht="42.75">
      <c r="A3" s="232" t="s">
        <v>20</v>
      </c>
      <c r="B3" s="235"/>
      <c r="C3" s="230" t="s">
        <v>159</v>
      </c>
      <c r="D3" s="343" t="s">
        <v>160</v>
      </c>
      <c r="E3" s="343" t="s">
        <v>160</v>
      </c>
      <c r="F3" s="343" t="s">
        <v>161</v>
      </c>
      <c r="G3" s="343" t="s">
        <v>148</v>
      </c>
      <c r="H3" s="343" t="s">
        <v>148</v>
      </c>
      <c r="I3" s="231" t="s">
        <v>156</v>
      </c>
      <c r="J3" s="270" t="s">
        <v>77</v>
      </c>
      <c r="K3" s="233" t="s">
        <v>80</v>
      </c>
      <c r="L3" s="236" t="s">
        <v>162</v>
      </c>
      <c r="M3" s="227"/>
    </row>
    <row r="4" spans="1:15" s="200" customFormat="1" ht="15">
      <c r="A4" s="232"/>
      <c r="B4" s="235"/>
      <c r="C4" s="231" t="s">
        <v>163</v>
      </c>
      <c r="D4" s="231" t="s">
        <v>164</v>
      </c>
      <c r="E4" s="231" t="s">
        <v>164</v>
      </c>
      <c r="F4" s="231" t="s">
        <v>163</v>
      </c>
      <c r="G4" s="231" t="s">
        <v>164</v>
      </c>
      <c r="H4" s="231" t="s">
        <v>164</v>
      </c>
      <c r="I4" s="231" t="s">
        <v>164</v>
      </c>
      <c r="J4" s="265" t="s">
        <v>90</v>
      </c>
      <c r="K4" s="233" t="s">
        <v>92</v>
      </c>
      <c r="L4" s="237"/>
      <c r="M4" s="227"/>
    </row>
    <row r="5" spans="1:15" s="200" customFormat="1" ht="15">
      <c r="A5" s="232"/>
      <c r="B5" s="235"/>
      <c r="C5" s="230" t="s">
        <v>165</v>
      </c>
      <c r="D5" s="231"/>
      <c r="E5" s="231"/>
      <c r="F5" s="231" t="s">
        <v>166</v>
      </c>
      <c r="G5" s="231"/>
      <c r="H5" s="348"/>
      <c r="I5" s="238"/>
      <c r="J5" s="265"/>
      <c r="K5" s="233" t="s">
        <v>167</v>
      </c>
      <c r="L5" s="239"/>
      <c r="M5" s="227"/>
    </row>
    <row r="6" spans="1:15" s="200" customFormat="1" ht="29.25" hidden="1" customHeight="1">
      <c r="A6" s="373" t="s">
        <v>168</v>
      </c>
      <c r="B6" s="374"/>
      <c r="C6" s="240">
        <f>C7+C12+C13+C15+C17+C18+C19+C20+C21</f>
        <v>23.79</v>
      </c>
      <c r="D6" s="240">
        <v>687587.95</v>
      </c>
      <c r="E6" s="240">
        <v>553570.98</v>
      </c>
      <c r="F6" s="240"/>
      <c r="G6" s="240"/>
      <c r="H6" s="345"/>
      <c r="I6" s="345">
        <f t="shared" ref="I6:I13" si="0">E6+H6</f>
        <v>553570.98</v>
      </c>
      <c r="J6" s="241" t="s">
        <v>169</v>
      </c>
      <c r="K6" s="242">
        <f>D6+G6</f>
        <v>687587.95</v>
      </c>
      <c r="L6" s="243"/>
      <c r="M6" s="227"/>
    </row>
    <row r="7" spans="1:15" s="200" customFormat="1" ht="45">
      <c r="A7" s="252">
        <v>1</v>
      </c>
      <c r="B7" s="334" t="s">
        <v>170</v>
      </c>
      <c r="C7" s="240">
        <v>9.59</v>
      </c>
      <c r="D7" s="240">
        <v>281993.46999999997</v>
      </c>
      <c r="E7" s="240">
        <v>263926.59999999998</v>
      </c>
      <c r="F7" s="240">
        <v>6.03</v>
      </c>
      <c r="G7" s="240">
        <v>40220</v>
      </c>
      <c r="H7" s="240">
        <v>18148.04</v>
      </c>
      <c r="I7" s="345">
        <f t="shared" si="0"/>
        <v>282074.63999999996</v>
      </c>
      <c r="J7" s="349" t="s">
        <v>171</v>
      </c>
      <c r="K7" s="242">
        <f>D7+G7</f>
        <v>322213.46999999997</v>
      </c>
      <c r="L7" s="243"/>
      <c r="M7" s="227"/>
    </row>
    <row r="8" spans="1:15" s="200" customFormat="1" ht="60">
      <c r="A8" s="244" t="s">
        <v>172</v>
      </c>
      <c r="B8" s="335" t="s">
        <v>173</v>
      </c>
      <c r="C8" s="245">
        <v>3.76</v>
      </c>
      <c r="D8" s="240">
        <f>(D7*40.9)/100</f>
        <v>115335.32922999999</v>
      </c>
      <c r="E8" s="240">
        <f>(E7*40.9)/100</f>
        <v>107945.9794</v>
      </c>
      <c r="F8" s="240">
        <v>0</v>
      </c>
      <c r="G8" s="240">
        <v>0</v>
      </c>
      <c r="H8" s="240">
        <v>0</v>
      </c>
      <c r="I8" s="345">
        <f t="shared" si="0"/>
        <v>107945.9794</v>
      </c>
      <c r="J8" s="269" t="s">
        <v>174</v>
      </c>
      <c r="K8" s="242">
        <f>D8+G8</f>
        <v>115335.32922999999</v>
      </c>
      <c r="L8" s="246"/>
      <c r="M8" s="247">
        <f>D10+G10</f>
        <v>165062.04472000001</v>
      </c>
      <c r="O8" s="225"/>
    </row>
    <row r="9" spans="1:15" s="200" customFormat="1" ht="45">
      <c r="A9" s="248" t="s">
        <v>175</v>
      </c>
      <c r="B9" s="336" t="s">
        <v>176</v>
      </c>
      <c r="C9" s="249">
        <v>1.68</v>
      </c>
      <c r="D9" s="240">
        <f>(D7*15.3)/100</f>
        <v>43145.000910000002</v>
      </c>
      <c r="E9" s="240">
        <f>(E7*15.3)/100</f>
        <v>40380.769800000002</v>
      </c>
      <c r="F9" s="240">
        <v>0</v>
      </c>
      <c r="G9" s="240">
        <v>0</v>
      </c>
      <c r="H9" s="240">
        <v>0</v>
      </c>
      <c r="I9" s="345">
        <f t="shared" si="0"/>
        <v>40380.769800000002</v>
      </c>
      <c r="J9" s="346" t="s">
        <v>174</v>
      </c>
      <c r="K9" s="242">
        <f>D9+H9</f>
        <v>43145.000910000002</v>
      </c>
      <c r="L9" s="246"/>
      <c r="M9" s="227"/>
    </row>
    <row r="10" spans="1:15" s="200" customFormat="1" ht="24">
      <c r="A10" s="248" t="s">
        <v>177</v>
      </c>
      <c r="B10" s="337" t="s">
        <v>178</v>
      </c>
      <c r="C10" s="249">
        <v>3.56</v>
      </c>
      <c r="D10" s="240">
        <f>(D7*37.6)/100</f>
        <v>106029.54471999999</v>
      </c>
      <c r="E10" s="240">
        <f>(E7*37.6)/100</f>
        <v>99236.401599999997</v>
      </c>
      <c r="F10" s="345">
        <v>425</v>
      </c>
      <c r="G10" s="240">
        <v>59032.5</v>
      </c>
      <c r="H10" s="240">
        <v>32465.75</v>
      </c>
      <c r="I10" s="345">
        <f t="shared" si="0"/>
        <v>131702.15159999998</v>
      </c>
      <c r="J10" s="346" t="s">
        <v>179</v>
      </c>
      <c r="K10" s="332">
        <v>79365</v>
      </c>
      <c r="L10" s="246"/>
      <c r="M10" s="227">
        <v>88000</v>
      </c>
    </row>
    <row r="11" spans="1:15" s="200" customFormat="1" ht="20.25" customHeight="1">
      <c r="A11" s="248" t="s">
        <v>180</v>
      </c>
      <c r="B11" s="337" t="s">
        <v>181</v>
      </c>
      <c r="C11" s="249">
        <v>0.59</v>
      </c>
      <c r="D11" s="245">
        <f>(D7*6.2)/100</f>
        <v>17483.595140000001</v>
      </c>
      <c r="E11" s="240">
        <f>(E7*6.2)/100</f>
        <v>16363.449199999999</v>
      </c>
      <c r="F11" s="240">
        <v>0</v>
      </c>
      <c r="G11" s="245">
        <v>0</v>
      </c>
      <c r="H11" s="240">
        <v>0</v>
      </c>
      <c r="I11" s="345">
        <f t="shared" si="0"/>
        <v>16363.449199999999</v>
      </c>
      <c r="J11" s="346" t="s">
        <v>174</v>
      </c>
      <c r="K11" s="242">
        <f>D11+G11</f>
        <v>17483.595140000001</v>
      </c>
      <c r="L11" s="246"/>
      <c r="M11" s="247">
        <f>M8-M10</f>
        <v>77062.044720000005</v>
      </c>
    </row>
    <row r="12" spans="1:15" s="200" customFormat="1" ht="45">
      <c r="A12" s="232">
        <v>2</v>
      </c>
      <c r="B12" s="335" t="s">
        <v>182</v>
      </c>
      <c r="C12" s="350">
        <v>0.48</v>
      </c>
      <c r="D12" s="350">
        <v>17382.89</v>
      </c>
      <c r="E12" s="350">
        <v>16237.29</v>
      </c>
      <c r="F12" s="350">
        <v>0.59</v>
      </c>
      <c r="G12" s="350">
        <v>2834.88</v>
      </c>
      <c r="H12" s="348">
        <v>1562.12</v>
      </c>
      <c r="I12" s="348">
        <f t="shared" si="0"/>
        <v>17799.41</v>
      </c>
      <c r="J12" s="269" t="s">
        <v>183</v>
      </c>
      <c r="K12" s="250">
        <f>D12+G12</f>
        <v>20217.77</v>
      </c>
      <c r="L12" s="251">
        <f>K12-E12</f>
        <v>3980.4799999999996</v>
      </c>
      <c r="M12" s="227"/>
    </row>
    <row r="13" spans="1:15" s="200" customFormat="1" ht="18" customHeight="1">
      <c r="A13" s="367">
        <v>3</v>
      </c>
      <c r="B13" s="369" t="s">
        <v>184</v>
      </c>
      <c r="C13" s="360">
        <v>5.08</v>
      </c>
      <c r="D13" s="364">
        <v>143486.20000000001</v>
      </c>
      <c r="E13" s="364">
        <v>133854.72</v>
      </c>
      <c r="F13" s="360">
        <v>5.08</v>
      </c>
      <c r="G13" s="364">
        <v>28376.86</v>
      </c>
      <c r="H13" s="375">
        <v>13449.79</v>
      </c>
      <c r="I13" s="362">
        <f t="shared" si="0"/>
        <v>147304.51</v>
      </c>
      <c r="J13" s="376" t="s">
        <v>171</v>
      </c>
      <c r="K13" s="377">
        <f>D13+G13</f>
        <v>171863.06</v>
      </c>
      <c r="L13" s="253" t="s">
        <v>132</v>
      </c>
      <c r="M13" s="227"/>
    </row>
    <row r="14" spans="1:15" s="200" customFormat="1" ht="11.25" customHeight="1">
      <c r="A14" s="368"/>
      <c r="B14" s="370"/>
      <c r="C14" s="361"/>
      <c r="D14" s="364"/>
      <c r="E14" s="364"/>
      <c r="F14" s="361"/>
      <c r="G14" s="364"/>
      <c r="H14" s="375"/>
      <c r="I14" s="363"/>
      <c r="J14" s="371"/>
      <c r="K14" s="378"/>
      <c r="L14" s="239">
        <f>K14-E13</f>
        <v>-133854.72</v>
      </c>
      <c r="M14" s="227"/>
    </row>
    <row r="15" spans="1:15" s="200" customFormat="1" ht="15" customHeight="1">
      <c r="A15" s="367">
        <v>4</v>
      </c>
      <c r="B15" s="369" t="s">
        <v>105</v>
      </c>
      <c r="C15" s="360">
        <v>2.27</v>
      </c>
      <c r="D15" s="360">
        <v>48708.13</v>
      </c>
      <c r="E15" s="360">
        <v>47789.13</v>
      </c>
      <c r="F15" s="360">
        <v>0</v>
      </c>
      <c r="G15" s="360">
        <v>0</v>
      </c>
      <c r="H15" s="362">
        <v>0</v>
      </c>
      <c r="I15" s="362">
        <f>H15+E15</f>
        <v>47789.13</v>
      </c>
      <c r="J15" s="376" t="s">
        <v>185</v>
      </c>
      <c r="K15" s="377">
        <v>58651.98</v>
      </c>
      <c r="L15" s="246"/>
      <c r="M15" s="227"/>
    </row>
    <row r="16" spans="1:15" s="200" customFormat="1" ht="14.25" customHeight="1">
      <c r="A16" s="368"/>
      <c r="B16" s="370"/>
      <c r="C16" s="361"/>
      <c r="D16" s="361"/>
      <c r="E16" s="361"/>
      <c r="F16" s="361"/>
      <c r="G16" s="361"/>
      <c r="H16" s="363"/>
      <c r="I16" s="363"/>
      <c r="J16" s="371"/>
      <c r="K16" s="378"/>
      <c r="L16" s="246"/>
      <c r="M16" s="227"/>
    </row>
    <row r="17" spans="1:13" s="200" customFormat="1" ht="36.75" customHeight="1">
      <c r="A17" s="268">
        <v>5</v>
      </c>
      <c r="B17" s="338" t="s">
        <v>186</v>
      </c>
      <c r="C17" s="350">
        <v>1.29</v>
      </c>
      <c r="D17" s="240">
        <v>41464.959999999999</v>
      </c>
      <c r="E17" s="350">
        <v>38727.089999999997</v>
      </c>
      <c r="F17" s="350">
        <v>1.41</v>
      </c>
      <c r="G17" s="350">
        <v>7782.47</v>
      </c>
      <c r="H17" s="348">
        <v>3733.08</v>
      </c>
      <c r="I17" s="348">
        <f>E17+H17</f>
        <v>42460.17</v>
      </c>
      <c r="J17" s="269" t="s">
        <v>171</v>
      </c>
      <c r="K17" s="250">
        <f>D17+G17</f>
        <v>49247.43</v>
      </c>
      <c r="L17" s="253">
        <f>K17-E17</f>
        <v>10520.340000000004</v>
      </c>
      <c r="M17" s="227"/>
    </row>
    <row r="18" spans="1:13" s="200" customFormat="1" ht="32.25" customHeight="1">
      <c r="A18" s="232">
        <v>6</v>
      </c>
      <c r="B18" s="339" t="s">
        <v>187</v>
      </c>
      <c r="C18" s="350">
        <v>0.34</v>
      </c>
      <c r="D18" s="350">
        <v>6812.71</v>
      </c>
      <c r="E18" s="350">
        <v>6325.2</v>
      </c>
      <c r="F18" s="350">
        <v>0</v>
      </c>
      <c r="G18" s="350">
        <v>0</v>
      </c>
      <c r="H18" s="348">
        <v>0</v>
      </c>
      <c r="I18" s="348">
        <f>E18+H18</f>
        <v>6325.2</v>
      </c>
      <c r="J18" s="269" t="s">
        <v>188</v>
      </c>
      <c r="K18" s="250">
        <v>6812</v>
      </c>
      <c r="L18" s="237">
        <f>K18-E18</f>
        <v>486.80000000000018</v>
      </c>
      <c r="M18" s="227"/>
    </row>
    <row r="19" spans="1:13" s="200" customFormat="1" ht="30.75" customHeight="1">
      <c r="A19" s="232">
        <v>7</v>
      </c>
      <c r="B19" s="339" t="s">
        <v>189</v>
      </c>
      <c r="C19" s="350">
        <v>0.56000000000000005</v>
      </c>
      <c r="D19" s="350">
        <v>16305.07</v>
      </c>
      <c r="E19" s="350">
        <v>15217.76</v>
      </c>
      <c r="F19" s="350">
        <v>0</v>
      </c>
      <c r="G19" s="350">
        <v>0</v>
      </c>
      <c r="H19" s="348">
        <v>0</v>
      </c>
      <c r="I19" s="348">
        <f>E19+H19</f>
        <v>15217.76</v>
      </c>
      <c r="J19" s="269" t="s">
        <v>190</v>
      </c>
      <c r="K19" s="250">
        <v>20391.18</v>
      </c>
      <c r="L19" s="237">
        <f>K19-E19</f>
        <v>5173.42</v>
      </c>
      <c r="M19" s="227"/>
    </row>
    <row r="20" spans="1:13" s="200" customFormat="1" ht="31.5" customHeight="1">
      <c r="A20" s="232">
        <v>8</v>
      </c>
      <c r="B20" s="339" t="s">
        <v>191</v>
      </c>
      <c r="C20" s="350">
        <v>3</v>
      </c>
      <c r="D20" s="350">
        <v>15105.84</v>
      </c>
      <c r="E20" s="350">
        <v>14107.42</v>
      </c>
      <c r="F20" s="350">
        <v>0</v>
      </c>
      <c r="G20" s="350">
        <v>0</v>
      </c>
      <c r="H20" s="348">
        <v>0</v>
      </c>
      <c r="I20" s="348">
        <f>E20+H20</f>
        <v>14107.42</v>
      </c>
      <c r="J20" s="269" t="s">
        <v>192</v>
      </c>
      <c r="K20" s="250">
        <f>D20</f>
        <v>15105.84</v>
      </c>
      <c r="L20" s="237">
        <f>K20-E20</f>
        <v>998.42000000000007</v>
      </c>
      <c r="M20" s="227"/>
    </row>
    <row r="21" spans="1:13" s="200" customFormat="1" ht="27.75" customHeight="1">
      <c r="A21" s="252">
        <v>9</v>
      </c>
      <c r="B21" s="334" t="s">
        <v>193</v>
      </c>
      <c r="C21" s="347">
        <v>1.18</v>
      </c>
      <c r="D21" s="347">
        <v>34765.980000000003</v>
      </c>
      <c r="E21" s="347">
        <v>32474.720000000001</v>
      </c>
      <c r="F21" s="347">
        <v>1.18</v>
      </c>
      <c r="G21" s="347">
        <v>6591.46</v>
      </c>
      <c r="H21" s="345">
        <v>3124.15</v>
      </c>
      <c r="I21" s="345">
        <f>E21+H21</f>
        <v>35598.870000000003</v>
      </c>
      <c r="J21" s="349" t="s">
        <v>171</v>
      </c>
      <c r="K21" s="242">
        <f>D21+G21</f>
        <v>41357.440000000002</v>
      </c>
      <c r="L21" s="237"/>
      <c r="M21" s="227"/>
    </row>
    <row r="22" spans="1:13" s="200" customFormat="1" ht="15" customHeight="1">
      <c r="A22" s="232"/>
      <c r="B22" s="340" t="s">
        <v>194</v>
      </c>
      <c r="C22" s="350"/>
      <c r="D22" s="350"/>
      <c r="E22" s="254"/>
      <c r="F22" s="254"/>
      <c r="G22" s="254"/>
      <c r="H22" s="255"/>
      <c r="I22" s="255"/>
      <c r="J22" s="271"/>
      <c r="K22" s="256"/>
      <c r="L22" s="237"/>
      <c r="M22" s="227"/>
    </row>
    <row r="23" spans="1:13" s="200" customFormat="1" ht="18" customHeight="1">
      <c r="A23" s="232"/>
      <c r="B23" s="341" t="s">
        <v>195</v>
      </c>
      <c r="C23" s="350" t="s">
        <v>196</v>
      </c>
      <c r="D23" s="231">
        <f>SUM(D12:D21)+D7</f>
        <v>606025.25</v>
      </c>
      <c r="E23" s="231">
        <f>SUM(E12:E21)+E7</f>
        <v>568659.93000000005</v>
      </c>
      <c r="F23" s="231"/>
      <c r="G23" s="231">
        <f>SUM(G12:G21)+G7</f>
        <v>85805.67</v>
      </c>
      <c r="H23" s="231">
        <f>SUM(H12:H21)+H7</f>
        <v>40017.18</v>
      </c>
      <c r="I23" s="231">
        <f>SUM(I12:I21)+I7</f>
        <v>608677.11</v>
      </c>
      <c r="J23" s="265"/>
      <c r="K23" s="233">
        <f>SUM(K12:K21)+K7</f>
        <v>705860.16999999993</v>
      </c>
      <c r="L23" s="257">
        <f>SUM(L12:L22)+L7</f>
        <v>-112695.26</v>
      </c>
      <c r="M23" s="227"/>
    </row>
    <row r="24" spans="1:13" s="200" customFormat="1" ht="30" customHeight="1">
      <c r="A24" s="232">
        <v>10</v>
      </c>
      <c r="B24" s="339" t="s">
        <v>197</v>
      </c>
      <c r="C24" s="350">
        <v>23.13</v>
      </c>
      <c r="D24" s="350">
        <v>150840.64000000001</v>
      </c>
      <c r="E24" s="350">
        <v>137869.34</v>
      </c>
      <c r="F24" s="350"/>
      <c r="G24" s="350">
        <v>53698</v>
      </c>
      <c r="H24" s="348">
        <v>1254.6199999999999</v>
      </c>
      <c r="I24" s="348">
        <f>E24+H24</f>
        <v>139123.96</v>
      </c>
      <c r="J24" s="265" t="s">
        <v>198</v>
      </c>
      <c r="K24" s="250">
        <v>220293.04</v>
      </c>
      <c r="L24" s="253">
        <f>K24-E24</f>
        <v>82423.700000000012</v>
      </c>
      <c r="M24" s="258"/>
    </row>
    <row r="25" spans="1:13" s="200" customFormat="1" ht="30.75" customHeight="1">
      <c r="A25" s="232">
        <v>11</v>
      </c>
      <c r="B25" s="340" t="s">
        <v>199</v>
      </c>
      <c r="C25" s="350">
        <v>23.13</v>
      </c>
      <c r="D25" s="350">
        <v>151927.75</v>
      </c>
      <c r="E25" s="350">
        <v>138930</v>
      </c>
      <c r="F25" s="350"/>
      <c r="G25" s="350">
        <v>53251.4</v>
      </c>
      <c r="H25" s="348">
        <v>970.42</v>
      </c>
      <c r="I25" s="348">
        <f>E25+H25</f>
        <v>139900.42000000001</v>
      </c>
      <c r="J25" s="265" t="s">
        <v>198</v>
      </c>
      <c r="K25" s="250">
        <v>253553.64</v>
      </c>
      <c r="L25" s="239">
        <f>K25-E25</f>
        <v>114623.64000000001</v>
      </c>
      <c r="M25" s="227"/>
    </row>
    <row r="26" spans="1:13" s="200" customFormat="1" ht="22.5" customHeight="1">
      <c r="A26" s="232">
        <v>12</v>
      </c>
      <c r="B26" s="342" t="s">
        <v>200</v>
      </c>
      <c r="C26" s="350" t="s">
        <v>201</v>
      </c>
      <c r="D26" s="350">
        <v>12021.1</v>
      </c>
      <c r="E26" s="350">
        <v>10829.62</v>
      </c>
      <c r="F26" s="350"/>
      <c r="G26" s="350">
        <v>2184.9299999999998</v>
      </c>
      <c r="H26" s="348">
        <v>1017.14</v>
      </c>
      <c r="I26" s="348">
        <f>E26+H26</f>
        <v>11846.76</v>
      </c>
      <c r="J26" s="259" t="s">
        <v>202</v>
      </c>
      <c r="K26" s="250">
        <v>14206.03</v>
      </c>
      <c r="L26" s="253">
        <f>K26-E26</f>
        <v>3376.41</v>
      </c>
      <c r="M26" s="227"/>
    </row>
    <row r="27" spans="1:13" s="200" customFormat="1" ht="15">
      <c r="A27" s="232">
        <v>13</v>
      </c>
      <c r="B27" s="335" t="s">
        <v>203</v>
      </c>
      <c r="C27" s="350">
        <v>1541.78</v>
      </c>
      <c r="D27" s="350">
        <v>477176.65</v>
      </c>
      <c r="E27" s="350">
        <v>403535.78</v>
      </c>
      <c r="F27" s="350"/>
      <c r="G27" s="350">
        <v>77576.06</v>
      </c>
      <c r="H27" s="348">
        <v>14740.96</v>
      </c>
      <c r="I27" s="348">
        <f>E27+H27</f>
        <v>418276.74000000005</v>
      </c>
      <c r="J27" s="259" t="s">
        <v>204</v>
      </c>
      <c r="K27" s="250">
        <v>643105.69999999995</v>
      </c>
      <c r="L27" s="246"/>
      <c r="M27" s="227"/>
    </row>
    <row r="28" spans="1:13" s="200" customFormat="1" ht="18" customHeight="1">
      <c r="A28" s="232"/>
      <c r="B28" s="341" t="s">
        <v>205</v>
      </c>
      <c r="C28" s="231" t="s">
        <v>132</v>
      </c>
      <c r="D28" s="231">
        <f>SUM(D24:D27)</f>
        <v>791966.14</v>
      </c>
      <c r="E28" s="231">
        <f>SUM(E24:E27)</f>
        <v>691164.74</v>
      </c>
      <c r="F28" s="231"/>
      <c r="G28" s="231">
        <f>SUM(G24:G27)</f>
        <v>186710.38999999998</v>
      </c>
      <c r="H28" s="231">
        <f>SUM(H24:H27)</f>
        <v>17983.14</v>
      </c>
      <c r="I28" s="231">
        <f>SUM(I24:I27)</f>
        <v>709147.88000000012</v>
      </c>
      <c r="J28" s="265"/>
      <c r="K28" s="233">
        <f>SUM(K24:M27)</f>
        <v>1331582.1600000001</v>
      </c>
      <c r="L28" s="239"/>
      <c r="M28" s="227"/>
    </row>
    <row r="29" spans="1:13" s="200" customFormat="1" ht="18" customHeight="1">
      <c r="A29" s="232"/>
      <c r="B29" s="341" t="s">
        <v>131</v>
      </c>
      <c r="C29" s="231" t="s">
        <v>132</v>
      </c>
      <c r="D29" s="231">
        <f>D23+D28</f>
        <v>1397991.3900000001</v>
      </c>
      <c r="E29" s="231">
        <f>E23+E28</f>
        <v>1259824.67</v>
      </c>
      <c r="F29" s="231"/>
      <c r="G29" s="231">
        <f>G23+G28</f>
        <v>272516.06</v>
      </c>
      <c r="H29" s="231">
        <f>H23+H28</f>
        <v>58000.32</v>
      </c>
      <c r="I29" s="231">
        <f>I23+I28</f>
        <v>1317824.9900000002</v>
      </c>
      <c r="J29" s="265"/>
      <c r="K29" s="233">
        <f>K23+K27</f>
        <v>1348965.8699999999</v>
      </c>
      <c r="L29" s="257">
        <f>SUM(L23:L28)</f>
        <v>87728.490000000034</v>
      </c>
      <c r="M29" s="227"/>
    </row>
    <row r="30" spans="1:13" s="180" customFormat="1" ht="15" hidden="1">
      <c r="A30" s="365" t="s">
        <v>206</v>
      </c>
      <c r="B30" s="365"/>
      <c r="C30" s="365"/>
      <c r="D30" s="365"/>
      <c r="E30" s="365"/>
      <c r="F30" s="365"/>
      <c r="G30" s="260"/>
      <c r="H30" s="359">
        <v>186515.87</v>
      </c>
      <c r="I30" s="261"/>
      <c r="J30" s="272"/>
      <c r="K30" s="262"/>
      <c r="L30" s="263"/>
      <c r="M30" s="227"/>
    </row>
    <row r="31" spans="1:13" s="180" customFormat="1" ht="15" hidden="1">
      <c r="A31" s="366"/>
      <c r="B31" s="366"/>
      <c r="C31" s="366"/>
      <c r="D31" s="366"/>
      <c r="E31" s="366"/>
      <c r="F31" s="366"/>
      <c r="G31" s="260"/>
      <c r="H31" s="359"/>
      <c r="I31" s="261"/>
      <c r="J31" s="272"/>
      <c r="K31" s="262"/>
      <c r="L31" s="263"/>
      <c r="M31" s="227"/>
    </row>
    <row r="32" spans="1:13" ht="44.25" hidden="1" customHeight="1">
      <c r="A32" s="366"/>
      <c r="B32" s="366"/>
      <c r="C32" s="366"/>
      <c r="D32" s="366"/>
      <c r="E32" s="366"/>
      <c r="F32" s="366"/>
      <c r="G32" s="264"/>
      <c r="H32" s="264"/>
      <c r="I32" s="247"/>
      <c r="J32" s="273"/>
      <c r="K32" s="228"/>
      <c r="L32" s="228"/>
      <c r="M32" s="227"/>
    </row>
    <row r="33" spans="2:2">
      <c r="B33" s="182"/>
    </row>
  </sheetData>
  <mergeCells count="26">
    <mergeCell ref="I15:I16"/>
    <mergeCell ref="J15:J16"/>
    <mergeCell ref="B1:K1"/>
    <mergeCell ref="A6:B6"/>
    <mergeCell ref="A13:A14"/>
    <mergeCell ref="B13:B14"/>
    <mergeCell ref="C13:C14"/>
    <mergeCell ref="D15:D16"/>
    <mergeCell ref="E15:E16"/>
    <mergeCell ref="H13:H14"/>
    <mergeCell ref="I13:I14"/>
    <mergeCell ref="J13:J14"/>
    <mergeCell ref="K13:K14"/>
    <mergeCell ref="K15:K16"/>
    <mergeCell ref="D13:D14"/>
    <mergeCell ref="E13:E14"/>
    <mergeCell ref="H30:H31"/>
    <mergeCell ref="G15:G16"/>
    <mergeCell ref="H15:H16"/>
    <mergeCell ref="G13:G14"/>
    <mergeCell ref="A30:F32"/>
    <mergeCell ref="A15:A16"/>
    <mergeCell ref="B15:B16"/>
    <mergeCell ref="C15:C16"/>
    <mergeCell ref="F13:F14"/>
    <mergeCell ref="F15:F16"/>
  </mergeCells>
  <printOptions horizontalCentered="1" verticalCentered="1"/>
  <pageMargins left="0" right="0" top="0" bottom="0" header="0" footer="0"/>
  <pageSetup paperSize="9" scale="75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9" zoomScale="75" workbookViewId="0">
      <selection activeCell="C13" sqref="C13:C14"/>
    </sheetView>
  </sheetViews>
  <sheetFormatPr defaultRowHeight="12.75"/>
  <cols>
    <col min="1" max="1" width="8.7109375" style="181" customWidth="1"/>
    <col min="2" max="2" width="41.5703125" style="181" customWidth="1"/>
    <col min="3" max="3" width="15.28515625" style="204" customWidth="1"/>
    <col min="4" max="4" width="14" style="204" hidden="1" customWidth="1"/>
    <col min="5" max="5" width="14.5703125" style="204" hidden="1" customWidth="1"/>
    <col min="6" max="6" width="15.42578125" style="206" hidden="1" customWidth="1"/>
    <col min="7" max="8" width="16.85546875" style="205" customWidth="1"/>
    <col min="9" max="9" width="15.42578125" style="206" customWidth="1"/>
    <col min="10" max="10" width="17.42578125" style="207" hidden="1" customWidth="1"/>
    <col min="11" max="11" width="17.42578125" style="207" customWidth="1"/>
    <col min="12" max="12" width="17.28515625" style="193" hidden="1" customWidth="1"/>
    <col min="13" max="13" width="11" style="181" hidden="1" customWidth="1"/>
    <col min="14" max="14" width="40.5703125" style="181" customWidth="1"/>
    <col min="15" max="16384" width="9.140625" style="181"/>
  </cols>
  <sheetData>
    <row r="1" spans="1:15" s="180" customFormat="1" ht="27.75" customHeight="1">
      <c r="A1" s="179"/>
      <c r="B1" s="381" t="s">
        <v>153</v>
      </c>
      <c r="C1" s="381"/>
      <c r="D1" s="381"/>
      <c r="E1" s="381"/>
      <c r="F1" s="381"/>
      <c r="G1" s="381"/>
      <c r="H1" s="381"/>
      <c r="I1" s="381"/>
      <c r="J1" s="381"/>
      <c r="K1" s="381"/>
      <c r="L1" s="189"/>
    </row>
    <row r="2" spans="1:15" s="200" customFormat="1" ht="21" customHeight="1">
      <c r="A2" s="208" t="s">
        <v>15</v>
      </c>
      <c r="B2" s="208" t="s">
        <v>16</v>
      </c>
      <c r="C2" s="211" t="s">
        <v>154</v>
      </c>
      <c r="D2" s="210" t="s">
        <v>155</v>
      </c>
      <c r="E2" s="210" t="s">
        <v>156</v>
      </c>
      <c r="F2" s="210" t="s">
        <v>158</v>
      </c>
      <c r="G2" s="210" t="s">
        <v>158</v>
      </c>
      <c r="H2" s="210" t="s">
        <v>207</v>
      </c>
      <c r="I2" s="210" t="s">
        <v>158</v>
      </c>
      <c r="J2" s="210" t="s">
        <v>157</v>
      </c>
      <c r="K2" s="210" t="s">
        <v>208</v>
      </c>
      <c r="L2" s="290" t="s">
        <v>158</v>
      </c>
      <c r="N2" s="397" t="s">
        <v>209</v>
      </c>
    </row>
    <row r="3" spans="1:15" s="200" customFormat="1" ht="21" customHeight="1">
      <c r="A3" s="208" t="s">
        <v>20</v>
      </c>
      <c r="B3" s="291"/>
      <c r="C3" s="211" t="s">
        <v>159</v>
      </c>
      <c r="D3" s="210" t="s">
        <v>160</v>
      </c>
      <c r="E3" s="210" t="s">
        <v>160</v>
      </c>
      <c r="F3" s="209" t="s">
        <v>160</v>
      </c>
      <c r="G3" s="210" t="s">
        <v>160</v>
      </c>
      <c r="H3" s="210" t="s">
        <v>210</v>
      </c>
      <c r="I3" s="210" t="s">
        <v>148</v>
      </c>
      <c r="J3" s="210" t="s">
        <v>156</v>
      </c>
      <c r="K3" s="210" t="s">
        <v>158</v>
      </c>
      <c r="L3" s="191" t="s">
        <v>162</v>
      </c>
    </row>
    <row r="4" spans="1:15" s="200" customFormat="1">
      <c r="A4" s="208"/>
      <c r="B4" s="291"/>
      <c r="C4" s="210" t="s">
        <v>163</v>
      </c>
      <c r="D4" s="210" t="s">
        <v>164</v>
      </c>
      <c r="E4" s="210" t="s">
        <v>164</v>
      </c>
      <c r="F4" s="209" t="s">
        <v>164</v>
      </c>
      <c r="G4" s="209" t="s">
        <v>164</v>
      </c>
      <c r="H4" s="209" t="s">
        <v>163</v>
      </c>
      <c r="I4" s="210" t="s">
        <v>164</v>
      </c>
      <c r="J4" s="210" t="s">
        <v>164</v>
      </c>
      <c r="K4" s="210" t="s">
        <v>164</v>
      </c>
      <c r="L4" s="292"/>
    </row>
    <row r="5" spans="1:15" s="200" customFormat="1" ht="13.5" thickBot="1">
      <c r="A5" s="216"/>
      <c r="B5" s="291"/>
      <c r="C5" s="211" t="s">
        <v>165</v>
      </c>
      <c r="D5" s="210"/>
      <c r="E5" s="210"/>
      <c r="F5" s="209"/>
      <c r="G5" s="209"/>
      <c r="H5" s="209" t="s">
        <v>211</v>
      </c>
      <c r="I5" s="210"/>
      <c r="J5" s="294"/>
      <c r="K5" s="294"/>
      <c r="L5" s="295"/>
    </row>
    <row r="6" spans="1:15" s="200" customFormat="1" ht="29.25" hidden="1" customHeight="1">
      <c r="A6" s="382" t="s">
        <v>168</v>
      </c>
      <c r="B6" s="383"/>
      <c r="C6" s="222" t="e">
        <f>C7+C12+C13+#REF!+C16+C17+C18+C19+C20</f>
        <v>#REF!</v>
      </c>
      <c r="D6" s="222">
        <v>687587.95</v>
      </c>
      <c r="E6" s="222">
        <v>553570.98</v>
      </c>
      <c r="F6" s="293" t="e">
        <f>D6-E6+#REF!</f>
        <v>#REF!</v>
      </c>
      <c r="G6" s="222"/>
      <c r="H6" s="222"/>
      <c r="I6" s="296" t="e">
        <f>G6-#REF!</f>
        <v>#REF!</v>
      </c>
      <c r="J6" s="296" t="e">
        <f>E6+#REF!</f>
        <v>#REF!</v>
      </c>
      <c r="K6" s="296" t="e">
        <f>I6+F6</f>
        <v>#REF!</v>
      </c>
      <c r="L6" s="297"/>
    </row>
    <row r="7" spans="1:15" s="200" customFormat="1" ht="35.25" customHeight="1">
      <c r="A7" s="304">
        <v>1</v>
      </c>
      <c r="B7" s="305" t="s">
        <v>170</v>
      </c>
      <c r="C7" s="306">
        <v>9.59</v>
      </c>
      <c r="D7" s="306">
        <v>342109.56</v>
      </c>
      <c r="E7" s="306">
        <v>281630.56</v>
      </c>
      <c r="F7" s="307">
        <f t="shared" ref="F7:F13" si="0">D7-E7</f>
        <v>60479</v>
      </c>
      <c r="G7" s="306">
        <v>18066.87</v>
      </c>
      <c r="H7" s="306">
        <v>6.03</v>
      </c>
      <c r="I7" s="306">
        <v>22071.96</v>
      </c>
      <c r="J7" s="355" t="e">
        <f>E7+#REF!</f>
        <v>#REF!</v>
      </c>
      <c r="K7" s="355">
        <f>I7+F7</f>
        <v>82550.959999999992</v>
      </c>
      <c r="L7" s="297"/>
    </row>
    <row r="8" spans="1:15" s="200" customFormat="1" ht="71.25">
      <c r="A8" s="308" t="s">
        <v>172</v>
      </c>
      <c r="B8" s="309" t="s">
        <v>173</v>
      </c>
      <c r="C8" s="310">
        <v>3.76</v>
      </c>
      <c r="D8" s="306" t="e">
        <f>(#REF!+C8)/2*D7/((#REF!+C7)/2)</f>
        <v>#REF!</v>
      </c>
      <c r="E8" s="306" t="e">
        <f>(#REF!+C8)/2*E7/((#REF!+C7)/2)</f>
        <v>#REF!</v>
      </c>
      <c r="F8" s="307" t="e">
        <f t="shared" si="0"/>
        <v>#REF!</v>
      </c>
      <c r="G8" s="306">
        <v>7389.35</v>
      </c>
      <c r="H8" s="306">
        <v>0</v>
      </c>
      <c r="I8" s="306">
        <v>0</v>
      </c>
      <c r="J8" s="355" t="e">
        <f>E8+#REF!</f>
        <v>#REF!</v>
      </c>
      <c r="K8" s="355">
        <f>G8+I8</f>
        <v>7389.35</v>
      </c>
      <c r="L8" s="298"/>
      <c r="M8" s="226" t="e">
        <f>D10+G10</f>
        <v>#REF!</v>
      </c>
      <c r="O8" s="225"/>
    </row>
    <row r="9" spans="1:15" s="200" customFormat="1" ht="42" customHeight="1">
      <c r="A9" s="311" t="s">
        <v>175</v>
      </c>
      <c r="B9" s="398" t="s">
        <v>176</v>
      </c>
      <c r="C9" s="312">
        <v>1.68</v>
      </c>
      <c r="D9" s="306" t="e">
        <f>(#REF!+C9)/2*D7/((#REF!+C7)/2)</f>
        <v>#REF!</v>
      </c>
      <c r="E9" s="306" t="e">
        <f>(#REF!+C9)/2*E7/((#REF!+C7)/2)</f>
        <v>#REF!</v>
      </c>
      <c r="F9" s="307" t="e">
        <f t="shared" si="0"/>
        <v>#REF!</v>
      </c>
      <c r="G9" s="306">
        <v>2764.23</v>
      </c>
      <c r="H9" s="306">
        <v>0</v>
      </c>
      <c r="I9" s="306">
        <v>0</v>
      </c>
      <c r="J9" s="355" t="e">
        <f>E9+#REF!</f>
        <v>#REF!</v>
      </c>
      <c r="K9" s="355">
        <f>G9+I9</f>
        <v>2764.23</v>
      </c>
      <c r="L9" s="298"/>
    </row>
    <row r="10" spans="1:15" s="200" customFormat="1" ht="69" customHeight="1">
      <c r="A10" s="311" t="s">
        <v>177</v>
      </c>
      <c r="B10" s="313" t="s">
        <v>178</v>
      </c>
      <c r="C10" s="312">
        <v>3.56</v>
      </c>
      <c r="D10" s="306" t="e">
        <f>(#REF!+C10)/2*D7/((#REF!+C7)/2)</f>
        <v>#REF!</v>
      </c>
      <c r="E10" s="306" t="e">
        <f>(#REF!+C10)/2*E7/((#REF!+C7)/2)</f>
        <v>#REF!</v>
      </c>
      <c r="F10" s="307" t="e">
        <f t="shared" si="0"/>
        <v>#REF!</v>
      </c>
      <c r="G10" s="306">
        <v>6793.14</v>
      </c>
      <c r="H10" s="306"/>
      <c r="I10" s="306">
        <v>26566.75</v>
      </c>
      <c r="J10" s="355" t="e">
        <f>E10+#REF!</f>
        <v>#REF!</v>
      </c>
      <c r="K10" s="355">
        <f>G10+I10</f>
        <v>33359.89</v>
      </c>
      <c r="L10" s="298"/>
      <c r="M10" s="200">
        <v>88000</v>
      </c>
    </row>
    <row r="11" spans="1:15" s="200" customFormat="1" ht="42" customHeight="1">
      <c r="A11" s="311" t="s">
        <v>180</v>
      </c>
      <c r="B11" s="313" t="s">
        <v>181</v>
      </c>
      <c r="C11" s="312">
        <v>0.59</v>
      </c>
      <c r="D11" s="310" t="e">
        <f>(#REF!+C11)/2*D7/((#REF!+C7)/2)</f>
        <v>#REF!</v>
      </c>
      <c r="E11" s="306" t="e">
        <f>(#REF!+C11)/2*E7/((#REF!+C7)/2)</f>
        <v>#REF!</v>
      </c>
      <c r="F11" s="307" t="e">
        <f t="shared" si="0"/>
        <v>#REF!</v>
      </c>
      <c r="G11" s="310">
        <v>1120.1500000000001</v>
      </c>
      <c r="H11" s="306">
        <v>0</v>
      </c>
      <c r="I11" s="306">
        <v>0</v>
      </c>
      <c r="J11" s="355" t="e">
        <f>E11+#REF!</f>
        <v>#REF!</v>
      </c>
      <c r="K11" s="355">
        <f>G11+I11</f>
        <v>1120.1500000000001</v>
      </c>
      <c r="L11" s="298"/>
      <c r="M11" s="226" t="e">
        <f>M8-M10</f>
        <v>#REF!</v>
      </c>
    </row>
    <row r="12" spans="1:15" s="200" customFormat="1" ht="44.25" customHeight="1" thickBot="1">
      <c r="A12" s="314">
        <v>2</v>
      </c>
      <c r="B12" s="309" t="s">
        <v>182</v>
      </c>
      <c r="C12" s="315">
        <v>0.48</v>
      </c>
      <c r="D12" s="315">
        <v>3974.72</v>
      </c>
      <c r="E12" s="315">
        <v>3843.52</v>
      </c>
      <c r="F12" s="307">
        <f t="shared" si="0"/>
        <v>131.19999999999982</v>
      </c>
      <c r="G12" s="315">
        <v>1145.5999999999999</v>
      </c>
      <c r="H12" s="315">
        <v>0.59</v>
      </c>
      <c r="I12" s="307">
        <v>1272.76</v>
      </c>
      <c r="J12" s="307" t="e">
        <f>E12+#REF!</f>
        <v>#REF!</v>
      </c>
      <c r="K12" s="307">
        <f>F12+I12</f>
        <v>1403.9599999999998</v>
      </c>
      <c r="L12" s="299" t="e">
        <f>#REF!-E12</f>
        <v>#REF!</v>
      </c>
    </row>
    <row r="13" spans="1:15" s="200" customFormat="1" ht="18" customHeight="1">
      <c r="A13" s="384">
        <v>3</v>
      </c>
      <c r="B13" s="386" t="s">
        <v>184</v>
      </c>
      <c r="C13" s="387">
        <v>5.08</v>
      </c>
      <c r="D13" s="387">
        <v>144225.24</v>
      </c>
      <c r="E13" s="387">
        <v>119235.48</v>
      </c>
      <c r="F13" s="388">
        <f t="shared" si="0"/>
        <v>24989.759999999995</v>
      </c>
      <c r="G13" s="387">
        <v>9631.48</v>
      </c>
      <c r="H13" s="387">
        <v>5.08</v>
      </c>
      <c r="I13" s="388">
        <v>14927.07</v>
      </c>
      <c r="J13" s="388" t="e">
        <f>E13+#REF!</f>
        <v>#REF!</v>
      </c>
      <c r="K13" s="388">
        <f>G13+I13</f>
        <v>24558.55</v>
      </c>
      <c r="L13" s="300"/>
    </row>
    <row r="14" spans="1:15" s="200" customFormat="1" ht="20.25" customHeight="1" thickBot="1">
      <c r="A14" s="385"/>
      <c r="B14" s="399"/>
      <c r="C14" s="399"/>
      <c r="D14" s="390"/>
      <c r="E14" s="390"/>
      <c r="F14" s="389"/>
      <c r="G14" s="390"/>
      <c r="H14" s="399"/>
      <c r="I14" s="389"/>
      <c r="J14" s="399"/>
      <c r="K14" s="399"/>
      <c r="L14" s="295" t="e">
        <f>#REF!-E13</f>
        <v>#REF!</v>
      </c>
    </row>
    <row r="15" spans="1:15" s="200" customFormat="1" ht="20.25" customHeight="1" thickBot="1">
      <c r="A15" s="352">
        <v>4</v>
      </c>
      <c r="B15" s="353" t="s">
        <v>105</v>
      </c>
      <c r="C15" s="316">
        <v>0</v>
      </c>
      <c r="D15" s="317"/>
      <c r="E15" s="317"/>
      <c r="F15" s="318"/>
      <c r="G15" s="317">
        <v>919</v>
      </c>
      <c r="H15" s="316">
        <v>0</v>
      </c>
      <c r="I15" s="356">
        <v>0</v>
      </c>
      <c r="J15" s="353"/>
      <c r="K15" s="316">
        <f t="shared" ref="K15:K20" si="1">G15+I15</f>
        <v>919</v>
      </c>
      <c r="L15" s="298"/>
    </row>
    <row r="16" spans="1:15" s="200" customFormat="1" ht="36.75" customHeight="1">
      <c r="A16" s="314">
        <v>5</v>
      </c>
      <c r="B16" s="319" t="s">
        <v>186</v>
      </c>
      <c r="C16" s="315">
        <v>1.29</v>
      </c>
      <c r="D16" s="315">
        <v>36624.36</v>
      </c>
      <c r="E16" s="315">
        <v>30278.53</v>
      </c>
      <c r="F16" s="307">
        <f>D16-E16</f>
        <v>6345.8300000000017</v>
      </c>
      <c r="G16" s="315">
        <v>2737.87</v>
      </c>
      <c r="H16" s="315">
        <v>1.41</v>
      </c>
      <c r="I16" s="307">
        <v>4049.39</v>
      </c>
      <c r="J16" s="307" t="e">
        <f>E16+#REF!</f>
        <v>#REF!</v>
      </c>
      <c r="K16" s="307">
        <f t="shared" si="1"/>
        <v>6787.26</v>
      </c>
      <c r="L16" s="300" t="e">
        <f>#REF!-E16</f>
        <v>#REF!</v>
      </c>
    </row>
    <row r="17" spans="1:14" s="200" customFormat="1" ht="32.25" customHeight="1">
      <c r="A17" s="314">
        <v>6</v>
      </c>
      <c r="B17" s="319" t="s">
        <v>187</v>
      </c>
      <c r="C17" s="315">
        <v>0.34</v>
      </c>
      <c r="D17" s="315">
        <v>42586.2</v>
      </c>
      <c r="E17" s="315">
        <v>35207.33</v>
      </c>
      <c r="F17" s="307">
        <f>D17-E17</f>
        <v>7378.8699999999953</v>
      </c>
      <c r="G17" s="315">
        <v>-652.39</v>
      </c>
      <c r="H17" s="315">
        <v>0</v>
      </c>
      <c r="I17" s="307">
        <v>0</v>
      </c>
      <c r="J17" s="307" t="e">
        <f>E17+#REF!</f>
        <v>#REF!</v>
      </c>
      <c r="K17" s="307">
        <f t="shared" si="1"/>
        <v>-652.39</v>
      </c>
      <c r="L17" s="292" t="e">
        <f>#REF!-E17</f>
        <v>#REF!</v>
      </c>
    </row>
    <row r="18" spans="1:14" s="200" customFormat="1" ht="30.75" customHeight="1">
      <c r="A18" s="314">
        <v>7</v>
      </c>
      <c r="B18" s="319" t="s">
        <v>189</v>
      </c>
      <c r="C18" s="315">
        <v>0.56000000000000005</v>
      </c>
      <c r="D18" s="315">
        <v>15898.8</v>
      </c>
      <c r="E18" s="315">
        <v>13066.96</v>
      </c>
      <c r="F18" s="307">
        <f>D18-E18</f>
        <v>2831.84</v>
      </c>
      <c r="G18" s="315">
        <v>1087.31</v>
      </c>
      <c r="H18" s="315">
        <v>0</v>
      </c>
      <c r="I18" s="307">
        <v>0</v>
      </c>
      <c r="J18" s="307" t="e">
        <f>E18+#REF!</f>
        <v>#REF!</v>
      </c>
      <c r="K18" s="307">
        <f t="shared" si="1"/>
        <v>1087.31</v>
      </c>
      <c r="L18" s="292" t="e">
        <f>#REF!-E18</f>
        <v>#REF!</v>
      </c>
    </row>
    <row r="19" spans="1:14" s="200" customFormat="1" ht="27.75" customHeight="1">
      <c r="A19" s="314">
        <v>8</v>
      </c>
      <c r="B19" s="320" t="s">
        <v>191</v>
      </c>
      <c r="C19" s="315">
        <v>3</v>
      </c>
      <c r="D19" s="315">
        <v>59667.95</v>
      </c>
      <c r="E19" s="315">
        <v>42612.17</v>
      </c>
      <c r="F19" s="307">
        <f>D19-E19</f>
        <v>17055.78</v>
      </c>
      <c r="G19" s="315">
        <v>998.42</v>
      </c>
      <c r="H19" s="315">
        <v>0</v>
      </c>
      <c r="I19" s="307">
        <v>0</v>
      </c>
      <c r="J19" s="307" t="e">
        <f>E19+#REF!</f>
        <v>#REF!</v>
      </c>
      <c r="K19" s="307">
        <f t="shared" si="1"/>
        <v>998.42</v>
      </c>
      <c r="L19" s="292" t="e">
        <f>#REF!-E19</f>
        <v>#REF!</v>
      </c>
    </row>
    <row r="20" spans="1:14" s="200" customFormat="1" ht="27.75" customHeight="1">
      <c r="A20" s="351">
        <v>9</v>
      </c>
      <c r="B20" s="321" t="s">
        <v>212</v>
      </c>
      <c r="C20" s="354">
        <v>1.18</v>
      </c>
      <c r="D20" s="354">
        <v>33501.120000000003</v>
      </c>
      <c r="E20" s="354">
        <v>27696.43</v>
      </c>
      <c r="F20" s="307">
        <f>D20-E20</f>
        <v>5804.6900000000023</v>
      </c>
      <c r="G20" s="354">
        <v>2291.2600000000002</v>
      </c>
      <c r="H20" s="354">
        <v>1.18</v>
      </c>
      <c r="I20" s="355">
        <v>3467.31</v>
      </c>
      <c r="J20" s="355" t="e">
        <f>E20+#REF!</f>
        <v>#REF!</v>
      </c>
      <c r="K20" s="355">
        <f t="shared" si="1"/>
        <v>5758.57</v>
      </c>
      <c r="L20" s="292"/>
    </row>
    <row r="21" spans="1:14" s="200" customFormat="1" ht="15" customHeight="1">
      <c r="A21" s="322"/>
      <c r="B21" s="323" t="s">
        <v>213</v>
      </c>
      <c r="C21" s="315"/>
      <c r="D21" s="315"/>
      <c r="E21" s="324"/>
      <c r="F21" s="325"/>
      <c r="G21" s="326"/>
      <c r="H21" s="326"/>
      <c r="I21" s="325"/>
      <c r="J21" s="325"/>
      <c r="K21" s="325"/>
      <c r="L21" s="292"/>
    </row>
    <row r="22" spans="1:14" s="200" customFormat="1" ht="18" customHeight="1" thickBot="1">
      <c r="A22" s="322"/>
      <c r="B22" s="344" t="s">
        <v>195</v>
      </c>
      <c r="C22" s="315" t="s">
        <v>196</v>
      </c>
      <c r="D22" s="331">
        <f>SUM(D12:D20)+D7</f>
        <v>678587.95</v>
      </c>
      <c r="E22" s="331">
        <f>SUM(E12:E20)+E7</f>
        <v>553570.98</v>
      </c>
      <c r="F22" s="331">
        <f>SUM(F12:F20)+F7</f>
        <v>125016.96999999999</v>
      </c>
      <c r="G22" s="331">
        <f>SUM(G12:G20)+G7</f>
        <v>36225.42</v>
      </c>
      <c r="H22" s="331"/>
      <c r="I22" s="331">
        <f>SUM(I12:I20)+I7</f>
        <v>45788.490000000005</v>
      </c>
      <c r="J22" s="331" t="e">
        <f>SUM(J12:J20)+J7</f>
        <v>#REF!</v>
      </c>
      <c r="K22" s="331">
        <f>SUM(K12:K20)+K7</f>
        <v>123411.63999999998</v>
      </c>
      <c r="L22" s="194" t="e">
        <f>SUM(L12:L21)+L7</f>
        <v>#REF!</v>
      </c>
    </row>
    <row r="23" spans="1:14" s="200" customFormat="1" ht="71.25">
      <c r="A23" s="314">
        <v>10</v>
      </c>
      <c r="B23" s="323" t="s">
        <v>197</v>
      </c>
      <c r="C23" s="315">
        <v>23.13</v>
      </c>
      <c r="D23" s="315">
        <v>0</v>
      </c>
      <c r="E23" s="315">
        <v>0</v>
      </c>
      <c r="F23" s="327">
        <f>D23-E23</f>
        <v>0</v>
      </c>
      <c r="G23" s="328">
        <v>12971.3</v>
      </c>
      <c r="H23" s="328">
        <v>28.86</v>
      </c>
      <c r="I23" s="327">
        <v>52443.38</v>
      </c>
      <c r="J23" s="327" t="e">
        <f>E23+#REF!</f>
        <v>#REF!</v>
      </c>
      <c r="K23" s="327">
        <f>I23+G23</f>
        <v>65414.679999999993</v>
      </c>
      <c r="L23" s="300" t="e">
        <f>#REF!-E23</f>
        <v>#REF!</v>
      </c>
      <c r="M23" s="201"/>
      <c r="N23" s="333" t="s">
        <v>214</v>
      </c>
    </row>
    <row r="24" spans="1:14" s="200" customFormat="1" ht="18" customHeight="1" thickBot="1">
      <c r="A24" s="314">
        <v>11</v>
      </c>
      <c r="B24" s="323" t="s">
        <v>199</v>
      </c>
      <c r="C24" s="315">
        <v>23.13</v>
      </c>
      <c r="D24" s="315">
        <v>0</v>
      </c>
      <c r="E24" s="315">
        <v>0</v>
      </c>
      <c r="F24" s="327">
        <f>D24-E24</f>
        <v>0</v>
      </c>
      <c r="G24" s="328">
        <v>12997.75</v>
      </c>
      <c r="H24" s="328"/>
      <c r="I24" s="327">
        <v>2280.98</v>
      </c>
      <c r="J24" s="327" t="e">
        <f>E24+#REF!</f>
        <v>#REF!</v>
      </c>
      <c r="K24" s="327">
        <f>I24+G24</f>
        <v>15278.73</v>
      </c>
      <c r="L24" s="295" t="e">
        <f>#REF!-E24</f>
        <v>#REF!</v>
      </c>
    </row>
    <row r="25" spans="1:14" s="200" customFormat="1" ht="22.5" customHeight="1">
      <c r="A25" s="314">
        <v>12</v>
      </c>
      <c r="B25" s="329" t="s">
        <v>200</v>
      </c>
      <c r="C25" s="315" t="s">
        <v>215</v>
      </c>
      <c r="D25" s="315">
        <v>0</v>
      </c>
      <c r="E25" s="315">
        <v>0</v>
      </c>
      <c r="F25" s="307">
        <f>D25-E25</f>
        <v>0</v>
      </c>
      <c r="G25" s="330">
        <v>1191.48</v>
      </c>
      <c r="H25" s="330" t="s">
        <v>201</v>
      </c>
      <c r="I25" s="307">
        <v>1167.79</v>
      </c>
      <c r="J25" s="307" t="e">
        <f>E25+#REF!</f>
        <v>#REF!</v>
      </c>
      <c r="K25" s="307">
        <f>I25+G25</f>
        <v>2359.27</v>
      </c>
      <c r="L25" s="300" t="e">
        <f>#REF!-E25</f>
        <v>#REF!</v>
      </c>
    </row>
    <row r="26" spans="1:14" s="200" customFormat="1" ht="22.5" customHeight="1">
      <c r="A26" s="314">
        <v>13</v>
      </c>
      <c r="B26" s="329" t="s">
        <v>216</v>
      </c>
      <c r="C26" s="315">
        <v>1541.78</v>
      </c>
      <c r="D26" s="315"/>
      <c r="E26" s="315"/>
      <c r="F26" s="307"/>
      <c r="G26" s="330">
        <v>73640.87</v>
      </c>
      <c r="H26" s="330">
        <v>1755.34</v>
      </c>
      <c r="I26" s="307">
        <v>62835.1</v>
      </c>
      <c r="J26" s="307"/>
      <c r="K26" s="307">
        <f>I26+G26</f>
        <v>136475.97</v>
      </c>
      <c r="L26" s="298"/>
    </row>
    <row r="27" spans="1:14" s="200" customFormat="1" ht="22.5" customHeight="1">
      <c r="A27" s="314">
        <v>14</v>
      </c>
      <c r="B27" s="329" t="s">
        <v>49</v>
      </c>
      <c r="C27" s="315">
        <v>5635.09</v>
      </c>
      <c r="D27" s="315"/>
      <c r="E27" s="315"/>
      <c r="F27" s="307"/>
      <c r="G27" s="330">
        <v>12973.22</v>
      </c>
      <c r="H27" s="330">
        <v>0</v>
      </c>
      <c r="I27" s="307">
        <v>0</v>
      </c>
      <c r="J27" s="307"/>
      <c r="K27" s="307">
        <f>G27+I27</f>
        <v>12973.22</v>
      </c>
      <c r="L27" s="298"/>
    </row>
    <row r="28" spans="1:14" s="200" customFormat="1" ht="18" customHeight="1" thickBot="1">
      <c r="A28" s="322"/>
      <c r="B28" s="344" t="s">
        <v>205</v>
      </c>
      <c r="C28" s="331" t="s">
        <v>132</v>
      </c>
      <c r="D28" s="331">
        <f>SUM(D23:D25)</f>
        <v>0</v>
      </c>
      <c r="E28" s="331">
        <f>SUM(E23:E25)</f>
        <v>0</v>
      </c>
      <c r="F28" s="331">
        <f>SUM(F23:F25)</f>
        <v>0</v>
      </c>
      <c r="G28" s="331">
        <f>SUM(G23:G27)</f>
        <v>113774.62</v>
      </c>
      <c r="H28" s="331"/>
      <c r="I28" s="331">
        <f>SUM(I23:I27)</f>
        <v>118727.25</v>
      </c>
      <c r="J28" s="331" t="e">
        <f>SUM(J23:J25)</f>
        <v>#REF!</v>
      </c>
      <c r="K28" s="331">
        <f>SUM(K23:K27)</f>
        <v>232501.87</v>
      </c>
      <c r="L28" s="295"/>
    </row>
    <row r="29" spans="1:14" s="200" customFormat="1" ht="18" customHeight="1" thickBot="1">
      <c r="A29" s="322"/>
      <c r="B29" s="322" t="s">
        <v>131</v>
      </c>
      <c r="C29" s="331" t="s">
        <v>132</v>
      </c>
      <c r="D29" s="331">
        <f>D22+D28</f>
        <v>678587.95</v>
      </c>
      <c r="E29" s="331">
        <f>E22+E28</f>
        <v>553570.98</v>
      </c>
      <c r="F29" s="331">
        <f>F22+F28</f>
        <v>125016.96999999999</v>
      </c>
      <c r="G29" s="331">
        <f>G22+G28</f>
        <v>150000.03999999998</v>
      </c>
      <c r="H29" s="331"/>
      <c r="I29" s="331">
        <f>I22+I28</f>
        <v>164515.74</v>
      </c>
      <c r="J29" s="331" t="e">
        <f>J22+J28</f>
        <v>#REF!</v>
      </c>
      <c r="K29" s="331">
        <f>K22+K28</f>
        <v>355913.51</v>
      </c>
      <c r="L29" s="194" t="e">
        <f>SUM(L22:L28)</f>
        <v>#REF!</v>
      </c>
    </row>
    <row r="30" spans="1:14" s="180" customFormat="1" ht="12.75" hidden="1" customHeight="1">
      <c r="A30" s="379" t="s">
        <v>206</v>
      </c>
      <c r="B30" s="379"/>
      <c r="C30" s="379"/>
      <c r="D30" s="379"/>
      <c r="E30" s="379"/>
      <c r="F30" s="379"/>
      <c r="G30" s="301"/>
      <c r="H30" s="301"/>
      <c r="I30" s="202"/>
      <c r="J30" s="203"/>
      <c r="K30" s="203"/>
      <c r="L30" s="192"/>
    </row>
    <row r="31" spans="1:14" s="180" customFormat="1" ht="12.75" hidden="1" customHeight="1">
      <c r="A31" s="380"/>
      <c r="B31" s="380"/>
      <c r="C31" s="380"/>
      <c r="D31" s="380"/>
      <c r="E31" s="380"/>
      <c r="F31" s="380"/>
      <c r="G31" s="301"/>
      <c r="H31" s="301"/>
      <c r="I31" s="202"/>
      <c r="J31" s="203"/>
      <c r="K31" s="203"/>
      <c r="L31" s="192"/>
    </row>
    <row r="32" spans="1:14" ht="44.25" hidden="1" customHeight="1">
      <c r="A32" s="380"/>
      <c r="B32" s="380"/>
      <c r="C32" s="380"/>
      <c r="D32" s="380"/>
      <c r="E32" s="380"/>
      <c r="F32" s="380"/>
    </row>
    <row r="33" spans="2:9">
      <c r="B33" s="182"/>
    </row>
    <row r="37" spans="2:9">
      <c r="I37" s="207"/>
    </row>
  </sheetData>
  <mergeCells count="14">
    <mergeCell ref="A30:F32"/>
    <mergeCell ref="B1:K1"/>
    <mergeCell ref="A6:B6"/>
    <mergeCell ref="A13:A14"/>
    <mergeCell ref="B13:B14"/>
    <mergeCell ref="C13:C14"/>
    <mergeCell ref="H13:H14"/>
    <mergeCell ref="I13:I14"/>
    <mergeCell ref="J13:J14"/>
    <mergeCell ref="K13:K14"/>
    <mergeCell ref="D13:D14"/>
    <mergeCell ref="E13:E14"/>
    <mergeCell ref="F13:F14"/>
    <mergeCell ref="G13:G14"/>
  </mergeCells>
  <pageMargins left="1" right="1" top="1" bottom="1" header="1" footer="1"/>
  <pageSetup paperSize="9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2" sqref="D1:D1048576"/>
    </sheetView>
  </sheetViews>
  <sheetFormatPr defaultRowHeight="12.75"/>
  <cols>
    <col min="1" max="1" width="7.5703125" customWidth="1"/>
    <col min="2" max="2" width="52.42578125" customWidth="1"/>
    <col min="3" max="3" width="14.28515625" customWidth="1"/>
    <col min="7" max="7" width="43.5703125" customWidth="1"/>
  </cols>
  <sheetData>
    <row r="1" spans="1:7" ht="20.25">
      <c r="A1" s="391" t="s">
        <v>217</v>
      </c>
      <c r="B1" s="391"/>
      <c r="C1" s="391"/>
    </row>
    <row r="2" spans="1:7" ht="63" customHeight="1">
      <c r="A2" s="218" t="s">
        <v>218</v>
      </c>
      <c r="B2" s="219" t="s">
        <v>219</v>
      </c>
      <c r="C2" s="218" t="s">
        <v>220</v>
      </c>
    </row>
    <row r="3" spans="1:7" ht="18.75" customHeight="1">
      <c r="A3" s="218">
        <v>1</v>
      </c>
      <c r="B3" s="219" t="s">
        <v>221</v>
      </c>
      <c r="C3" s="218">
        <v>1.18</v>
      </c>
    </row>
    <row r="4" spans="1:7" ht="108" customHeight="1">
      <c r="A4" s="218">
        <v>2</v>
      </c>
      <c r="B4" s="219" t="s">
        <v>222</v>
      </c>
      <c r="C4" s="218">
        <v>9.59</v>
      </c>
      <c r="G4" s="220"/>
    </row>
    <row r="5" spans="1:7" ht="108" customHeight="1">
      <c r="A5" s="218" t="s">
        <v>223</v>
      </c>
      <c r="B5" s="219" t="s">
        <v>224</v>
      </c>
      <c r="C5" s="218">
        <v>3.76</v>
      </c>
      <c r="G5" s="220"/>
    </row>
    <row r="6" spans="1:7" ht="24" customHeight="1">
      <c r="A6" s="218" t="s">
        <v>225</v>
      </c>
      <c r="B6" s="219" t="s">
        <v>226</v>
      </c>
      <c r="C6" s="224" t="s">
        <v>227</v>
      </c>
      <c r="G6" s="220"/>
    </row>
    <row r="7" spans="1:7" ht="49.5" customHeight="1">
      <c r="A7" s="223" t="s">
        <v>228</v>
      </c>
      <c r="B7" s="219" t="s">
        <v>229</v>
      </c>
      <c r="C7" s="224">
        <v>0.37</v>
      </c>
      <c r="G7" s="220"/>
    </row>
    <row r="8" spans="1:7" ht="24" customHeight="1">
      <c r="A8" s="218" t="s">
        <v>230</v>
      </c>
      <c r="B8" s="219" t="s">
        <v>231</v>
      </c>
      <c r="C8" s="224">
        <v>1.27</v>
      </c>
      <c r="G8" s="220"/>
    </row>
    <row r="9" spans="1:7" ht="32.25" customHeight="1">
      <c r="A9" s="218" t="s">
        <v>232</v>
      </c>
      <c r="B9" s="219" t="s">
        <v>233</v>
      </c>
      <c r="C9" s="224">
        <v>1.44</v>
      </c>
      <c r="G9" s="220"/>
    </row>
    <row r="10" spans="1:7" ht="27" customHeight="1">
      <c r="A10" s="218" t="s">
        <v>234</v>
      </c>
      <c r="B10" s="219" t="s">
        <v>235</v>
      </c>
      <c r="C10" s="224">
        <v>0.06</v>
      </c>
      <c r="G10" s="220"/>
    </row>
    <row r="11" spans="1:7" ht="63" customHeight="1">
      <c r="A11" s="223" t="s">
        <v>236</v>
      </c>
      <c r="B11" s="219" t="s">
        <v>237</v>
      </c>
      <c r="C11" s="224">
        <v>0.23</v>
      </c>
      <c r="G11" s="220"/>
    </row>
    <row r="12" spans="1:7" ht="36" customHeight="1">
      <c r="A12" s="218" t="s">
        <v>238</v>
      </c>
      <c r="B12" s="219" t="s">
        <v>176</v>
      </c>
      <c r="C12" s="218">
        <v>1.68</v>
      </c>
      <c r="G12" s="220"/>
    </row>
    <row r="13" spans="1:7" ht="36" customHeight="1">
      <c r="A13" s="218" t="s">
        <v>239</v>
      </c>
      <c r="B13" s="219" t="s">
        <v>240</v>
      </c>
      <c r="C13" s="218">
        <v>3.56</v>
      </c>
      <c r="G13" s="220"/>
    </row>
    <row r="14" spans="1:7" ht="30" customHeight="1">
      <c r="A14" s="218" t="s">
        <v>241</v>
      </c>
      <c r="B14" s="219" t="s">
        <v>242</v>
      </c>
      <c r="C14" s="218">
        <v>0.59</v>
      </c>
      <c r="G14" s="220"/>
    </row>
    <row r="15" spans="1:7" ht="63">
      <c r="A15" s="218">
        <v>3</v>
      </c>
      <c r="B15" s="219" t="s">
        <v>243</v>
      </c>
      <c r="C15" s="218">
        <v>5.08</v>
      </c>
    </row>
    <row r="16" spans="1:7" ht="94.5">
      <c r="A16" s="218">
        <v>4</v>
      </c>
      <c r="B16" s="219" t="s">
        <v>244</v>
      </c>
      <c r="C16" s="218">
        <v>1.41</v>
      </c>
    </row>
    <row r="17" spans="1:3" ht="31.5">
      <c r="A17" s="218">
        <v>5</v>
      </c>
      <c r="B17" s="219" t="s">
        <v>245</v>
      </c>
      <c r="C17" s="218">
        <v>1.26</v>
      </c>
    </row>
    <row r="18" spans="1:3" ht="78.75">
      <c r="A18" s="218">
        <v>6</v>
      </c>
      <c r="B18" s="219" t="s">
        <v>246</v>
      </c>
      <c r="C18" s="218">
        <v>0.34</v>
      </c>
    </row>
    <row r="19" spans="1:3" ht="47.25">
      <c r="A19" s="218">
        <v>7</v>
      </c>
      <c r="B19" s="219" t="s">
        <v>247</v>
      </c>
      <c r="C19" s="218">
        <v>0.41</v>
      </c>
    </row>
    <row r="20" spans="1:3" ht="63">
      <c r="A20" s="218">
        <v>8</v>
      </c>
      <c r="B20" s="219" t="s">
        <v>248</v>
      </c>
      <c r="C20" s="218">
        <v>0.56000000000000005</v>
      </c>
    </row>
    <row r="21" spans="1:3" ht="63">
      <c r="A21" s="218">
        <v>9</v>
      </c>
      <c r="B21" s="219" t="s">
        <v>249</v>
      </c>
      <c r="C21" s="221">
        <v>0.48</v>
      </c>
    </row>
  </sheetData>
  <mergeCells count="1">
    <mergeCell ref="A1:C1"/>
  </mergeCells>
  <pageMargins left="1" right="1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topLeftCell="J1" workbookViewId="0">
      <selection activeCell="K8" sqref="K8"/>
    </sheetView>
  </sheetViews>
  <sheetFormatPr defaultRowHeight="12.75"/>
  <cols>
    <col min="1" max="1" width="20" hidden="1" customWidth="1"/>
    <col min="2" max="2" width="17.7109375" hidden="1" customWidth="1"/>
    <col min="3" max="3" width="26.7109375" hidden="1" customWidth="1"/>
    <col min="4" max="4" width="35.7109375" hidden="1" customWidth="1"/>
    <col min="5" max="5" width="31.140625" hidden="1" customWidth="1"/>
    <col min="6" max="6" width="30.28515625" hidden="1" customWidth="1"/>
    <col min="7" max="7" width="35.140625" hidden="1" customWidth="1"/>
    <col min="8" max="8" width="33.42578125" hidden="1" customWidth="1"/>
    <col min="9" max="9" width="28.5703125" hidden="1" customWidth="1"/>
    <col min="11" max="11" width="18.7109375" customWidth="1"/>
  </cols>
  <sheetData>
    <row r="2" spans="1:11" ht="16.5" customHeight="1">
      <c r="A2" s="394" t="s">
        <v>250</v>
      </c>
      <c r="B2" s="394" t="s">
        <v>251</v>
      </c>
      <c r="C2" s="394" t="s">
        <v>252</v>
      </c>
      <c r="D2" s="394" t="s">
        <v>253</v>
      </c>
      <c r="E2" s="358" t="s">
        <v>254</v>
      </c>
      <c r="F2" s="357" t="s">
        <v>255</v>
      </c>
      <c r="G2" s="394" t="s">
        <v>219</v>
      </c>
      <c r="H2" s="357" t="s">
        <v>256</v>
      </c>
      <c r="I2" s="357" t="s">
        <v>256</v>
      </c>
    </row>
    <row r="3" spans="1:11" ht="38.25" customHeight="1">
      <c r="A3" s="395"/>
      <c r="B3" s="395"/>
      <c r="C3" s="395"/>
      <c r="D3" s="395"/>
      <c r="E3" s="358" t="s">
        <v>257</v>
      </c>
      <c r="F3" s="357" t="s">
        <v>20</v>
      </c>
      <c r="G3" s="395"/>
      <c r="H3" s="357" t="s">
        <v>258</v>
      </c>
      <c r="I3" s="357" t="s">
        <v>259</v>
      </c>
    </row>
    <row r="4" spans="1:11" ht="25.5" customHeight="1">
      <c r="A4" s="395"/>
      <c r="B4" s="395"/>
      <c r="C4" s="395"/>
      <c r="D4" s="395"/>
      <c r="E4" s="358" t="s">
        <v>260</v>
      </c>
      <c r="F4" s="215"/>
      <c r="G4" s="395"/>
      <c r="H4" s="357" t="s">
        <v>259</v>
      </c>
      <c r="I4" s="357" t="s">
        <v>261</v>
      </c>
    </row>
    <row r="5" spans="1:11" ht="26.25" customHeight="1">
      <c r="A5" s="396"/>
      <c r="B5" s="396"/>
      <c r="C5" s="396"/>
      <c r="D5" s="396"/>
      <c r="E5" s="358" t="s">
        <v>262</v>
      </c>
      <c r="F5" s="215"/>
      <c r="G5" s="395"/>
      <c r="H5" s="357" t="s">
        <v>263</v>
      </c>
      <c r="I5" s="357" t="s">
        <v>264</v>
      </c>
      <c r="K5" s="217"/>
    </row>
    <row r="6" spans="1:11" ht="18" customHeight="1">
      <c r="A6" s="357">
        <v>1</v>
      </c>
      <c r="B6" s="357" t="s">
        <v>265</v>
      </c>
      <c r="C6" s="357"/>
      <c r="D6" s="357"/>
      <c r="E6" s="358" t="s">
        <v>266</v>
      </c>
      <c r="F6" s="215"/>
      <c r="G6" s="396"/>
      <c r="H6" s="357" t="s">
        <v>267</v>
      </c>
      <c r="I6" s="357" t="s">
        <v>164</v>
      </c>
    </row>
    <row r="7" spans="1:11" ht="15" customHeight="1">
      <c r="A7" s="357">
        <v>3.1</v>
      </c>
      <c r="B7" s="357" t="s">
        <v>268</v>
      </c>
      <c r="C7" s="357"/>
      <c r="D7" s="357"/>
      <c r="E7" s="393" t="s">
        <v>269</v>
      </c>
      <c r="F7" s="392">
        <v>2</v>
      </c>
      <c r="G7" s="357" t="s">
        <v>270</v>
      </c>
      <c r="H7" s="392">
        <v>9.59</v>
      </c>
      <c r="I7" s="392">
        <v>14.83</v>
      </c>
    </row>
    <row r="8" spans="1:11" ht="20.100000000000001" customHeight="1">
      <c r="A8" s="357"/>
      <c r="B8" s="357" t="s">
        <v>271</v>
      </c>
      <c r="C8" s="357" t="s">
        <v>272</v>
      </c>
      <c r="D8" s="357">
        <v>3.55</v>
      </c>
      <c r="E8" s="393"/>
      <c r="F8" s="392"/>
      <c r="G8" s="357" t="s">
        <v>273</v>
      </c>
      <c r="H8" s="392"/>
      <c r="I8" s="392"/>
    </row>
    <row r="9" spans="1:11" ht="20.100000000000001" customHeight="1">
      <c r="A9" s="357"/>
      <c r="B9" s="357" t="s">
        <v>274</v>
      </c>
      <c r="C9" s="357" t="s">
        <v>272</v>
      </c>
      <c r="D9" s="357">
        <v>2.14</v>
      </c>
      <c r="E9" s="393"/>
      <c r="F9" s="392"/>
      <c r="G9" s="357" t="s">
        <v>275</v>
      </c>
      <c r="H9" s="392"/>
      <c r="I9" s="392"/>
    </row>
    <row r="10" spans="1:11" ht="20.100000000000001" customHeight="1">
      <c r="A10" s="392">
        <v>3.2</v>
      </c>
      <c r="B10" s="357" t="s">
        <v>276</v>
      </c>
      <c r="C10" s="392"/>
      <c r="D10" s="392"/>
      <c r="E10" s="393"/>
      <c r="F10" s="392"/>
      <c r="G10" s="357" t="s">
        <v>277</v>
      </c>
      <c r="H10" s="392"/>
      <c r="I10" s="392"/>
    </row>
    <row r="11" spans="1:11" ht="20.100000000000001" customHeight="1">
      <c r="A11" s="392"/>
      <c r="B11" s="357" t="s">
        <v>163</v>
      </c>
      <c r="C11" s="392"/>
      <c r="D11" s="392"/>
      <c r="E11" s="393"/>
      <c r="F11" s="392"/>
      <c r="G11" s="357" t="s">
        <v>278</v>
      </c>
      <c r="H11" s="392"/>
      <c r="I11" s="392"/>
    </row>
    <row r="12" spans="1:11" ht="20.100000000000001" customHeight="1">
      <c r="A12" s="357"/>
      <c r="B12" s="357" t="s">
        <v>279</v>
      </c>
      <c r="C12" s="357" t="s">
        <v>272</v>
      </c>
      <c r="D12" s="357">
        <v>3.84</v>
      </c>
      <c r="E12" s="393"/>
      <c r="F12" s="392"/>
      <c r="G12" s="357" t="s">
        <v>273</v>
      </c>
      <c r="H12" s="392"/>
      <c r="I12" s="392"/>
    </row>
    <row r="13" spans="1:11" ht="20.100000000000001" customHeight="1">
      <c r="A13" s="357"/>
      <c r="B13" s="392" t="s">
        <v>280</v>
      </c>
      <c r="C13" s="392"/>
      <c r="D13" s="392"/>
      <c r="E13" s="393"/>
      <c r="F13" s="392"/>
      <c r="G13" s="357" t="s">
        <v>281</v>
      </c>
      <c r="H13" s="392"/>
      <c r="I13" s="392"/>
    </row>
    <row r="14" spans="1:11" ht="20.100000000000001" customHeight="1">
      <c r="A14" s="357"/>
      <c r="B14" s="357" t="s">
        <v>271</v>
      </c>
      <c r="C14" s="357" t="s">
        <v>272</v>
      </c>
      <c r="D14" s="357">
        <v>3.91</v>
      </c>
      <c r="E14" s="393"/>
      <c r="F14" s="392"/>
      <c r="G14" s="357" t="s">
        <v>282</v>
      </c>
      <c r="H14" s="392"/>
      <c r="I14" s="392"/>
    </row>
    <row r="15" spans="1:11" ht="20.100000000000001" customHeight="1">
      <c r="A15" s="357"/>
      <c r="B15" s="357" t="s">
        <v>274</v>
      </c>
      <c r="C15" s="357" t="s">
        <v>272</v>
      </c>
      <c r="D15" s="357">
        <v>2.2999999999999998</v>
      </c>
      <c r="E15" s="393"/>
      <c r="F15" s="392">
        <v>3</v>
      </c>
      <c r="G15" s="357" t="s">
        <v>283</v>
      </c>
      <c r="H15" s="392">
        <v>5.08</v>
      </c>
      <c r="I15" s="392">
        <v>7.97</v>
      </c>
    </row>
    <row r="16" spans="1:11" ht="20.100000000000001" customHeight="1">
      <c r="A16" s="392" t="s">
        <v>284</v>
      </c>
      <c r="B16" s="357" t="s">
        <v>285</v>
      </c>
      <c r="C16" s="392"/>
      <c r="D16" s="392"/>
      <c r="E16" s="393"/>
      <c r="F16" s="392"/>
      <c r="G16" s="357" t="s">
        <v>286</v>
      </c>
      <c r="H16" s="392"/>
      <c r="I16" s="392"/>
    </row>
    <row r="17" spans="1:9" ht="20.100000000000001" customHeight="1">
      <c r="A17" s="392"/>
      <c r="B17" s="357" t="s">
        <v>287</v>
      </c>
      <c r="C17" s="392"/>
      <c r="D17" s="392"/>
      <c r="E17" s="393"/>
      <c r="F17" s="392"/>
      <c r="G17" s="357" t="s">
        <v>288</v>
      </c>
      <c r="H17" s="392"/>
      <c r="I17" s="392"/>
    </row>
    <row r="18" spans="1:9" ht="20.100000000000001" customHeight="1">
      <c r="A18" s="357"/>
      <c r="B18" s="357" t="s">
        <v>279</v>
      </c>
      <c r="C18" s="357" t="s">
        <v>272</v>
      </c>
      <c r="D18" s="357">
        <v>2.4700000000000002</v>
      </c>
      <c r="E18" s="393"/>
      <c r="F18" s="392"/>
      <c r="G18" s="357" t="s">
        <v>289</v>
      </c>
      <c r="H18" s="392"/>
      <c r="I18" s="392"/>
    </row>
    <row r="19" spans="1:9" ht="20.100000000000001" customHeight="1">
      <c r="A19" s="357"/>
      <c r="B19" s="392" t="s">
        <v>280</v>
      </c>
      <c r="C19" s="392"/>
      <c r="D19" s="392"/>
      <c r="E19" s="393"/>
      <c r="F19" s="392"/>
      <c r="G19" s="357" t="s">
        <v>290</v>
      </c>
      <c r="H19" s="392"/>
      <c r="I19" s="392"/>
    </row>
    <row r="20" spans="1:9" ht="20.100000000000001" customHeight="1">
      <c r="A20" s="357"/>
      <c r="B20" s="357" t="s">
        <v>271</v>
      </c>
      <c r="C20" s="357" t="s">
        <v>272</v>
      </c>
      <c r="D20" s="357">
        <v>2.4900000000000002</v>
      </c>
      <c r="E20" s="393"/>
      <c r="F20" s="392"/>
      <c r="G20" s="357" t="s">
        <v>291</v>
      </c>
      <c r="H20" s="392"/>
      <c r="I20" s="392"/>
    </row>
    <row r="21" spans="1:9" ht="20.100000000000001" customHeight="1">
      <c r="A21" s="357"/>
      <c r="B21" s="357" t="s">
        <v>274</v>
      </c>
      <c r="C21" s="357" t="s">
        <v>272</v>
      </c>
      <c r="D21" s="357">
        <v>1.5</v>
      </c>
      <c r="E21" s="393"/>
      <c r="F21" s="392"/>
      <c r="G21" s="357" t="s">
        <v>292</v>
      </c>
      <c r="H21" s="392"/>
      <c r="I21" s="392"/>
    </row>
    <row r="22" spans="1:9" ht="20.100000000000001" customHeight="1">
      <c r="A22" s="392">
        <v>3.4</v>
      </c>
      <c r="B22" s="357" t="s">
        <v>285</v>
      </c>
      <c r="C22" s="392"/>
      <c r="D22" s="392"/>
      <c r="E22" s="393"/>
      <c r="F22" s="392"/>
      <c r="G22" s="357" t="s">
        <v>293</v>
      </c>
      <c r="H22" s="392"/>
      <c r="I22" s="392"/>
    </row>
    <row r="23" spans="1:9" ht="20.100000000000001" customHeight="1">
      <c r="A23" s="392"/>
      <c r="B23" s="357" t="s">
        <v>163</v>
      </c>
      <c r="C23" s="392"/>
      <c r="D23" s="392"/>
      <c r="E23" s="393"/>
      <c r="F23" s="392"/>
      <c r="G23" s="357" t="s">
        <v>294</v>
      </c>
      <c r="H23" s="392"/>
      <c r="I23" s="392"/>
    </row>
    <row r="24" spans="1:9" ht="20.100000000000001" customHeight="1">
      <c r="A24" s="357"/>
      <c r="B24" s="357" t="s">
        <v>279</v>
      </c>
      <c r="C24" s="357" t="s">
        <v>272</v>
      </c>
      <c r="D24" s="357">
        <v>2.69</v>
      </c>
      <c r="E24" s="393"/>
      <c r="F24" s="392"/>
      <c r="G24" s="357" t="s">
        <v>295</v>
      </c>
      <c r="H24" s="392"/>
      <c r="I24" s="392"/>
    </row>
    <row r="25" spans="1:9" ht="20.100000000000001" customHeight="1">
      <c r="A25" s="357"/>
      <c r="B25" s="392" t="s">
        <v>280</v>
      </c>
      <c r="C25" s="392"/>
      <c r="D25" s="392"/>
      <c r="E25" s="393"/>
      <c r="F25" s="392"/>
      <c r="G25" s="357" t="s">
        <v>296</v>
      </c>
      <c r="H25" s="392"/>
      <c r="I25" s="392"/>
    </row>
    <row r="26" spans="1:9" ht="20.100000000000001" customHeight="1">
      <c r="A26" s="357"/>
      <c r="B26" s="357" t="s">
        <v>271</v>
      </c>
      <c r="C26" s="357" t="s">
        <v>272</v>
      </c>
      <c r="D26" s="357">
        <v>2.74</v>
      </c>
      <c r="E26" s="393"/>
      <c r="F26" s="392"/>
      <c r="G26" s="357" t="s">
        <v>297</v>
      </c>
      <c r="H26" s="392"/>
      <c r="I26" s="392"/>
    </row>
    <row r="27" spans="1:9" ht="20.100000000000001" customHeight="1">
      <c r="A27" s="357"/>
      <c r="B27" s="357" t="s">
        <v>274</v>
      </c>
      <c r="C27" s="357" t="s">
        <v>272</v>
      </c>
      <c r="D27" s="357">
        <v>1.61</v>
      </c>
      <c r="E27" s="393"/>
      <c r="F27" s="392">
        <v>4</v>
      </c>
      <c r="G27" s="357" t="s">
        <v>298</v>
      </c>
      <c r="H27" s="392">
        <v>1.41</v>
      </c>
      <c r="I27" s="392">
        <v>2.02</v>
      </c>
    </row>
    <row r="28" spans="1:9" ht="20.100000000000001" customHeight="1">
      <c r="A28" s="357">
        <v>4</v>
      </c>
      <c r="B28" s="357" t="s">
        <v>299</v>
      </c>
      <c r="C28" s="357"/>
      <c r="D28" s="357"/>
      <c r="E28" s="393" t="s">
        <v>300</v>
      </c>
      <c r="F28" s="392"/>
      <c r="G28" s="357" t="s">
        <v>301</v>
      </c>
      <c r="H28" s="392"/>
      <c r="I28" s="392"/>
    </row>
    <row r="29" spans="1:9" ht="20.100000000000001" customHeight="1">
      <c r="A29" s="357"/>
      <c r="B29" s="357" t="s">
        <v>287</v>
      </c>
      <c r="C29" s="392" t="s">
        <v>302</v>
      </c>
      <c r="D29" s="213">
        <v>5241.5200000000004</v>
      </c>
      <c r="E29" s="393"/>
      <c r="F29" s="392"/>
      <c r="G29" s="357" t="s">
        <v>303</v>
      </c>
      <c r="H29" s="392"/>
      <c r="I29" s="392"/>
    </row>
    <row r="30" spans="1:9" ht="20.100000000000001" customHeight="1">
      <c r="A30" s="357"/>
      <c r="B30" s="357" t="s">
        <v>163</v>
      </c>
      <c r="C30" s="392"/>
      <c r="D30" s="357" t="s">
        <v>304</v>
      </c>
      <c r="E30" s="393"/>
      <c r="F30" s="392"/>
      <c r="G30" s="357" t="s">
        <v>305</v>
      </c>
      <c r="H30" s="392"/>
      <c r="I30" s="392"/>
    </row>
    <row r="31" spans="1:9" ht="20.100000000000001" customHeight="1">
      <c r="A31" s="357">
        <v>5</v>
      </c>
      <c r="B31" s="357" t="s">
        <v>306</v>
      </c>
      <c r="C31" s="357"/>
      <c r="D31" s="357"/>
      <c r="E31" s="393" t="s">
        <v>307</v>
      </c>
      <c r="F31" s="392"/>
      <c r="G31" s="357" t="s">
        <v>308</v>
      </c>
      <c r="H31" s="392"/>
      <c r="I31" s="392"/>
    </row>
    <row r="32" spans="1:9" ht="20.100000000000001" customHeight="1">
      <c r="A32" s="357"/>
      <c r="B32" s="357" t="s">
        <v>287</v>
      </c>
      <c r="C32" s="392" t="s">
        <v>309</v>
      </c>
      <c r="D32" s="357">
        <v>21.03</v>
      </c>
      <c r="E32" s="393"/>
      <c r="F32" s="392"/>
      <c r="G32" s="357" t="s">
        <v>310</v>
      </c>
      <c r="H32" s="392"/>
      <c r="I32" s="392"/>
    </row>
    <row r="33" spans="1:9" ht="20.100000000000001" customHeight="1">
      <c r="A33" s="357"/>
      <c r="B33" s="357" t="s">
        <v>163</v>
      </c>
      <c r="C33" s="392"/>
      <c r="D33" s="357">
        <v>23.13</v>
      </c>
      <c r="E33" s="393"/>
      <c r="F33" s="392"/>
      <c r="G33" s="357" t="s">
        <v>311</v>
      </c>
      <c r="H33" s="392"/>
      <c r="I33" s="392"/>
    </row>
    <row r="34" spans="1:9" ht="20.100000000000001" customHeight="1">
      <c r="A34" s="357">
        <v>6</v>
      </c>
      <c r="B34" s="357" t="s">
        <v>312</v>
      </c>
      <c r="C34" s="357"/>
      <c r="D34" s="357"/>
      <c r="E34" s="393" t="s">
        <v>313</v>
      </c>
      <c r="F34" s="392"/>
      <c r="G34" s="357" t="s">
        <v>314</v>
      </c>
      <c r="H34" s="392"/>
      <c r="I34" s="392"/>
    </row>
    <row r="35" spans="1:9" ht="20.100000000000001" customHeight="1">
      <c r="A35" s="214"/>
      <c r="B35" s="214"/>
      <c r="C35" s="214"/>
      <c r="D35" s="214"/>
      <c r="E35" s="393"/>
      <c r="F35" s="392"/>
      <c r="G35" s="357" t="s">
        <v>315</v>
      </c>
      <c r="H35" s="392"/>
      <c r="I35" s="392"/>
    </row>
    <row r="36" spans="1:9" ht="22.5">
      <c r="A36" s="214"/>
      <c r="B36" s="214"/>
      <c r="C36" s="214"/>
      <c r="D36" s="214"/>
      <c r="E36" s="393"/>
      <c r="F36" s="392">
        <v>5</v>
      </c>
      <c r="G36" s="357" t="s">
        <v>316</v>
      </c>
      <c r="H36" s="392">
        <v>1.26</v>
      </c>
      <c r="I36" s="392">
        <v>1.71</v>
      </c>
    </row>
    <row r="37" spans="1:9" ht="22.5">
      <c r="A37" s="214"/>
      <c r="B37" s="214"/>
      <c r="C37" s="214"/>
      <c r="D37" s="214"/>
      <c r="E37" s="393"/>
      <c r="F37" s="392"/>
      <c r="G37" s="357" t="s">
        <v>317</v>
      </c>
      <c r="H37" s="392"/>
      <c r="I37" s="392"/>
    </row>
    <row r="38" spans="1:9" ht="22.5">
      <c r="A38" s="214"/>
      <c r="B38" s="214"/>
      <c r="C38" s="214"/>
      <c r="D38" s="214"/>
      <c r="E38" s="393"/>
      <c r="F38" s="392">
        <v>6</v>
      </c>
      <c r="G38" s="357" t="s">
        <v>318</v>
      </c>
      <c r="H38" s="392">
        <v>0.34</v>
      </c>
      <c r="I38" s="392">
        <v>0.53</v>
      </c>
    </row>
    <row r="39" spans="1:9" ht="22.5">
      <c r="A39" s="214"/>
      <c r="B39" s="214"/>
      <c r="C39" s="214"/>
      <c r="D39" s="214"/>
      <c r="E39" s="393"/>
      <c r="F39" s="392"/>
      <c r="G39" s="357" t="s">
        <v>319</v>
      </c>
      <c r="H39" s="392"/>
      <c r="I39" s="392"/>
    </row>
    <row r="40" spans="1:9" ht="22.5">
      <c r="F40" s="392"/>
      <c r="G40" s="357" t="s">
        <v>320</v>
      </c>
      <c r="H40" s="392"/>
      <c r="I40" s="392"/>
    </row>
    <row r="41" spans="1:9" ht="22.5">
      <c r="F41" s="392"/>
      <c r="G41" s="357" t="s">
        <v>321</v>
      </c>
      <c r="H41" s="392"/>
      <c r="I41" s="392"/>
    </row>
    <row r="42" spans="1:9">
      <c r="F42" s="392"/>
      <c r="G42" s="357" t="s">
        <v>322</v>
      </c>
      <c r="H42" s="392"/>
      <c r="I42" s="392"/>
    </row>
    <row r="43" spans="1:9" ht="22.5">
      <c r="F43" s="392">
        <v>7</v>
      </c>
      <c r="G43" s="357" t="s">
        <v>323</v>
      </c>
      <c r="H43" s="392">
        <v>0.41</v>
      </c>
      <c r="I43" s="392">
        <v>0.65</v>
      </c>
    </row>
    <row r="44" spans="1:9" ht="22.5">
      <c r="F44" s="392"/>
      <c r="G44" s="357" t="s">
        <v>324</v>
      </c>
      <c r="H44" s="392"/>
      <c r="I44" s="392"/>
    </row>
    <row r="45" spans="1:9" ht="22.5">
      <c r="F45" s="392"/>
      <c r="G45" s="357" t="s">
        <v>317</v>
      </c>
      <c r="H45" s="392"/>
      <c r="I45" s="392"/>
    </row>
    <row r="46" spans="1:9" ht="22.5">
      <c r="F46" s="392">
        <v>8</v>
      </c>
      <c r="G46" s="357" t="s">
        <v>325</v>
      </c>
      <c r="H46" s="392">
        <v>0.56000000000000005</v>
      </c>
      <c r="I46" s="392">
        <v>0.86</v>
      </c>
    </row>
    <row r="47" spans="1:9" ht="22.5">
      <c r="F47" s="392"/>
      <c r="G47" s="357" t="s">
        <v>326</v>
      </c>
      <c r="H47" s="392"/>
      <c r="I47" s="392"/>
    </row>
    <row r="48" spans="1:9" ht="22.5">
      <c r="F48" s="392"/>
      <c r="G48" s="357" t="s">
        <v>327</v>
      </c>
      <c r="H48" s="392"/>
      <c r="I48" s="392"/>
    </row>
    <row r="49" spans="6:9">
      <c r="F49" s="392"/>
      <c r="G49" s="357" t="s">
        <v>322</v>
      </c>
      <c r="H49" s="392"/>
      <c r="I49" s="392"/>
    </row>
    <row r="50" spans="6:9" ht="22.5">
      <c r="F50" s="392">
        <v>9</v>
      </c>
      <c r="G50" s="357" t="s">
        <v>328</v>
      </c>
      <c r="H50" s="392"/>
      <c r="I50" s="392"/>
    </row>
    <row r="51" spans="6:9" ht="22.5">
      <c r="F51" s="392"/>
      <c r="G51" s="357" t="s">
        <v>329</v>
      </c>
      <c r="H51" s="392"/>
      <c r="I51" s="392"/>
    </row>
    <row r="52" spans="6:9" ht="22.5">
      <c r="F52" s="392"/>
      <c r="G52" s="357" t="s">
        <v>330</v>
      </c>
      <c r="H52" s="392"/>
      <c r="I52" s="392"/>
    </row>
    <row r="53" spans="6:9" ht="22.5">
      <c r="F53" s="392"/>
      <c r="G53" s="357" t="s">
        <v>331</v>
      </c>
      <c r="H53" s="392"/>
      <c r="I53" s="392"/>
    </row>
    <row r="54" spans="6:9" ht="22.5">
      <c r="F54" s="392">
        <v>9.1</v>
      </c>
      <c r="G54" s="357" t="s">
        <v>332</v>
      </c>
      <c r="H54" s="392">
        <v>0.06</v>
      </c>
      <c r="I54" s="392">
        <v>0.06</v>
      </c>
    </row>
    <row r="55" spans="6:9">
      <c r="F55" s="392"/>
      <c r="G55" s="357" t="s">
        <v>333</v>
      </c>
      <c r="H55" s="392"/>
      <c r="I55" s="392"/>
    </row>
    <row r="56" spans="6:9" ht="22.5">
      <c r="F56" s="392">
        <v>9.1999999999999993</v>
      </c>
      <c r="G56" s="357" t="s">
        <v>334</v>
      </c>
      <c r="H56" s="392">
        <v>0.48</v>
      </c>
      <c r="I56" s="392">
        <v>0.48</v>
      </c>
    </row>
    <row r="57" spans="6:9">
      <c r="F57" s="392"/>
      <c r="G57" s="357" t="s">
        <v>335</v>
      </c>
      <c r="H57" s="392"/>
      <c r="I57" s="392"/>
    </row>
    <row r="58" spans="6:9" ht="22.5">
      <c r="F58" s="357">
        <v>9.3000000000000007</v>
      </c>
      <c r="G58" s="357" t="s">
        <v>336</v>
      </c>
      <c r="H58" s="357">
        <v>0.05</v>
      </c>
      <c r="I58" s="357">
        <v>0.05</v>
      </c>
    </row>
  </sheetData>
  <mergeCells count="53">
    <mergeCell ref="A2:A5"/>
    <mergeCell ref="B2:B5"/>
    <mergeCell ref="C2:C5"/>
    <mergeCell ref="D2:D5"/>
    <mergeCell ref="G2:G6"/>
    <mergeCell ref="I7:I14"/>
    <mergeCell ref="A10:A11"/>
    <mergeCell ref="C10:C11"/>
    <mergeCell ref="D10:D11"/>
    <mergeCell ref="B13:D13"/>
    <mergeCell ref="E7:E27"/>
    <mergeCell ref="F7:F14"/>
    <mergeCell ref="F15:F26"/>
    <mergeCell ref="F27:F35"/>
    <mergeCell ref="H7:H14"/>
    <mergeCell ref="H15:H26"/>
    <mergeCell ref="H27:H35"/>
    <mergeCell ref="I15:I26"/>
    <mergeCell ref="A16:A17"/>
    <mergeCell ref="C16:C17"/>
    <mergeCell ref="D16:D17"/>
    <mergeCell ref="B19:D19"/>
    <mergeCell ref="A22:A23"/>
    <mergeCell ref="C22:C23"/>
    <mergeCell ref="D22:D23"/>
    <mergeCell ref="B25:D25"/>
    <mergeCell ref="I27:I35"/>
    <mergeCell ref="E28:E30"/>
    <mergeCell ref="C29:C30"/>
    <mergeCell ref="E31:E33"/>
    <mergeCell ref="C32:C33"/>
    <mergeCell ref="E34:E39"/>
    <mergeCell ref="F36:F37"/>
    <mergeCell ref="H36:H37"/>
    <mergeCell ref="I36:I37"/>
    <mergeCell ref="F38:F42"/>
    <mergeCell ref="H38:H42"/>
    <mergeCell ref="I38:I42"/>
    <mergeCell ref="F43:F45"/>
    <mergeCell ref="H43:H45"/>
    <mergeCell ref="I43:I45"/>
    <mergeCell ref="F46:F49"/>
    <mergeCell ref="H46:H49"/>
    <mergeCell ref="I46:I49"/>
    <mergeCell ref="F56:F57"/>
    <mergeCell ref="H56:H57"/>
    <mergeCell ref="I56:I57"/>
    <mergeCell ref="F50:F53"/>
    <mergeCell ref="H50:H53"/>
    <mergeCell ref="I50:I53"/>
    <mergeCell ref="F54:F55"/>
    <mergeCell ref="H54:H55"/>
    <mergeCell ref="I54:I55"/>
  </mergeCells>
  <pageMargins left="1" right="1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N65536"/>
    </sheetView>
  </sheetViews>
  <sheetFormatPr defaultRowHeight="12.75"/>
  <sheetData/>
  <pageMargins left="1" right="1" top="1" bottom="1" header="0" footer="0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revision/>
  <dcterms:created xsi:type="dcterms:W3CDTF">2016-04-18T14:59:16Z</dcterms:created>
  <dcterms:modified xsi:type="dcterms:W3CDTF">2016-05-17T12:00:53Z</dcterms:modified>
  <cp:category/>
  <cp:contentStatus/>
</cp:coreProperties>
</file>